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definedNames>
    <definedName name="_xlnm.Print_Area" localSheetId="0">'Summary'!$A$1:$I$55</definedName>
  </definedNames>
  <calcPr fullCalcOnLoad="1"/>
</workbook>
</file>

<file path=xl/sharedStrings.xml><?xml version="1.0" encoding="utf-8"?>
<sst xmlns="http://schemas.openxmlformats.org/spreadsheetml/2006/main" count="247" uniqueCount="188">
  <si>
    <t>MITHRIL BERHAD</t>
  </si>
  <si>
    <t>(Company No.:577765-U)</t>
  </si>
  <si>
    <t xml:space="preserve">The Board of Directors is pleased to announce the unaudited results of the Group for the Quarter 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</si>
  <si>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</si>
  <si>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</si>
  <si>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</si>
  <si>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</si>
  <si>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</si>
  <si>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</si>
  <si>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</si>
  <si>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</si>
  <si>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</si>
  <si>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</si>
  <si>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</si>
  <si>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</si>
  <si>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Profit/(loss) before tax</t>
  </si>
  <si>
    <t>Profit/(loss) after tax and minority</t>
  </si>
  <si>
    <t>interests</t>
  </si>
  <si>
    <t>Net profit/(loss) for the period</t>
  </si>
  <si>
    <t>Dividend per share(sen)</t>
  </si>
  <si>
    <t xml:space="preserve">AS AT END OF CURRENT </t>
  </si>
  <si>
    <t xml:space="preserve">AS AT PRECEDING FINANCIAL </t>
  </si>
  <si>
    <t>QUARTER</t>
  </si>
  <si>
    <t>YEAR END</t>
  </si>
  <si>
    <t>Net tangible assets per share (RM)</t>
  </si>
  <si>
    <t>CONDENSED CONSOLIDATED INCOME STATEMENTS</t>
  </si>
  <si>
    <t xml:space="preserve">                                          UNAUDITED</t>
  </si>
  <si>
    <t>CURRENT</t>
  </si>
  <si>
    <t>COMPARATIVE</t>
  </si>
  <si>
    <t>QTR ENDED</t>
  </si>
  <si>
    <t>CUMULATIVE</t>
  </si>
  <si>
    <t>TO DATE</t>
  </si>
  <si>
    <t>RM</t>
  </si>
  <si>
    <t>REVENUE</t>
  </si>
  <si>
    <t>OPERATING EXPENSES</t>
  </si>
  <si>
    <t>OTHER OPERATING INCOME</t>
  </si>
  <si>
    <t>FINANCE COSTS</t>
  </si>
  <si>
    <t>INVESTING RESULTS</t>
  </si>
  <si>
    <t>TAXATION</t>
  </si>
  <si>
    <t>CONDENSED CONSOLIDATED BALANCE SHEETS</t>
  </si>
  <si>
    <t>As at</t>
  </si>
  <si>
    <t>Group</t>
  </si>
  <si>
    <t>Property, Plant and Equipment</t>
  </si>
  <si>
    <t>Other Investments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</si>
  <si>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</si>
  <si>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</si>
  <si>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</si>
  <si>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</si>
  <si>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</si>
  <si>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</si>
  <si>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</si>
  <si>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</si>
  <si>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Net Current Liabilities</t>
  </si>
  <si>
    <t>Share Capital</t>
  </si>
  <si>
    <t>ICCPS (Equity)</t>
  </si>
  <si>
    <t>RCULS (Equity)</t>
  </si>
  <si>
    <t>Reserves and Accumulated Losses</t>
  </si>
  <si>
    <t>Long-term Liabilities</t>
  </si>
  <si>
    <t>Borrowings</t>
  </si>
  <si>
    <t>CONDENSED CONSOLIDATED CASH FLOW STATEMENTS</t>
  </si>
  <si>
    <t>CASH FLOWS FROM OPERATING ACTIVITIES</t>
  </si>
  <si>
    <t>Loss before tax</t>
  </si>
  <si>
    <t>Adjustment for non-cash flow:-</t>
  </si>
  <si>
    <t>Depreciation</t>
  </si>
  <si>
    <t>Interest expenses</t>
  </si>
  <si>
    <t>Interest income</t>
  </si>
  <si>
    <t>Changes in working capital</t>
  </si>
  <si>
    <t>Increase in inventories</t>
  </si>
  <si>
    <t>Tax paid</t>
  </si>
  <si>
    <t>CASH FLOWS FROM INVESTING ACTIVITIES</t>
  </si>
  <si>
    <t>Purchase of property, plant and equipment</t>
  </si>
  <si>
    <t>Interest received</t>
  </si>
  <si>
    <t/>
  </si>
  <si>
    <t>Net cash used in investing activities</t>
  </si>
  <si>
    <t>CASH FLOWS FROM FINANCING ACTIVITIES</t>
  </si>
  <si>
    <t>Net cash generated from investing activities</t>
  </si>
  <si>
    <t>Net Change in Cash and Cash Equivalents</t>
  </si>
  <si>
    <t>Cash and Cash Equivalents at beginning of the period</t>
  </si>
  <si>
    <t>Cash &amp; Cash Equivalents at the end of the period</t>
  </si>
  <si>
    <t>Cash and Cash Equivalents at end of the period</t>
  </si>
  <si>
    <t xml:space="preserve"> - Bank &amp; cash balances</t>
  </si>
  <si>
    <t xml:space="preserve"> - Bank overdrafts - MBB,Tajo Bhd.</t>
  </si>
  <si>
    <t xml:space="preserve"> - Bank overdrafts - Tajo Bhd &amp; Tajo Project Mgnt</t>
  </si>
  <si>
    <t>Cash and cash equivalents comprise :</t>
  </si>
  <si>
    <t xml:space="preserve">  Cash and Bank Balances</t>
  </si>
  <si>
    <t xml:space="preserve">  Bank Overdrafts</t>
  </si>
  <si>
    <t>CONDENSED CONSOLIDATED STATEMENTS OF CHANGES IN EQUITY</t>
  </si>
  <si>
    <t>Non-Distributable</t>
  </si>
  <si>
    <t>Distributable</t>
  </si>
  <si>
    <t>Cumulative Quarter ended</t>
  </si>
  <si>
    <t>SHARE</t>
  </si>
  <si>
    <t>ACCUMULATED</t>
  </si>
  <si>
    <t>TOTAL</t>
  </si>
  <si>
    <t>CAPITAL</t>
  </si>
  <si>
    <t>PREMIUM</t>
  </si>
  <si>
    <t>LOSSES</t>
  </si>
  <si>
    <t>Balance at beginning of period</t>
  </si>
  <si>
    <t>Movement during the period</t>
  </si>
  <si>
    <t>(Cumulative)</t>
  </si>
  <si>
    <t>Balance at end of period</t>
  </si>
  <si>
    <t>(Cumulative to date)</t>
  </si>
  <si>
    <t>Surplus/(deficit) on Revaluation</t>
  </si>
  <si>
    <t>Others</t>
  </si>
  <si>
    <t>Net Gains/(Losses) not recognised in the income statements</t>
  </si>
  <si>
    <t>Total recognised gains and losses</t>
  </si>
  <si>
    <t>Goodwill on Consolidation</t>
  </si>
  <si>
    <t>ICULS (Equity)</t>
  </si>
  <si>
    <t>RCSLS (Equity)</t>
  </si>
  <si>
    <t>ICCPS (Liability)</t>
  </si>
  <si>
    <t>RCULS (Liability)</t>
  </si>
  <si>
    <t>ICULS (Liability)</t>
  </si>
  <si>
    <t>RCSLS (Liability)</t>
  </si>
  <si>
    <t>Deferred Taxation</t>
  </si>
  <si>
    <t>Shareholders' Funds/(Deficit)</t>
  </si>
  <si>
    <t>Proceeds from borrowings</t>
  </si>
  <si>
    <t>Repayment of hire purchase creditors</t>
  </si>
  <si>
    <t>Repayment of term loan</t>
  </si>
  <si>
    <t>Interest paid</t>
  </si>
  <si>
    <t>Investment Properties</t>
  </si>
  <si>
    <t>MINORITY INTEREST</t>
  </si>
  <si>
    <t>(At 1st July 2004)</t>
  </si>
  <si>
    <t>Net Profit/(Loss) (Cumulative)</t>
  </si>
  <si>
    <t>Increase in payables</t>
  </si>
  <si>
    <t>30th June 2004</t>
  </si>
  <si>
    <t>(unaudited)</t>
  </si>
  <si>
    <t>(audited)</t>
  </si>
  <si>
    <t>PROFIT/ (LOSS) FROM OPERATIONS</t>
  </si>
  <si>
    <t>NET PROFIT/ (LOSS) FOR THE PERIOD</t>
  </si>
  <si>
    <t>EPS - BASIC (sen)</t>
  </si>
  <si>
    <t xml:space="preserve">        - DILUTED (sen)</t>
  </si>
  <si>
    <t>PROFIT/ (LOSS) BEFORE TAX</t>
  </si>
  <si>
    <t>PROFIT/ (LOSS) AFTER TAX</t>
  </si>
  <si>
    <t>OTHERS</t>
  </si>
  <si>
    <t>QUARTERLY REPORT - 31ST MARCH 2005</t>
  </si>
  <si>
    <t>ended 31st March 2005</t>
  </si>
  <si>
    <t>31.03.05</t>
  </si>
  <si>
    <t>31.03.04</t>
  </si>
  <si>
    <t>FOR THE QUARTER ENDED 31ST MARCH 2005</t>
  </si>
  <si>
    <t>31ST MARCH</t>
  </si>
  <si>
    <t>9 MONTHS</t>
  </si>
  <si>
    <t>AS AT 31ST MARCH 2005</t>
  </si>
  <si>
    <t>31st Mar 2005</t>
  </si>
  <si>
    <t>9 months ended</t>
  </si>
  <si>
    <t>FOR THE CUMULATIVE QUARTER ENDED 31ST MARCH 2005</t>
  </si>
  <si>
    <t>(At 31st March 2005)</t>
  </si>
  <si>
    <t>9 months</t>
  </si>
  <si>
    <t>2004</t>
  </si>
  <si>
    <t>The condensed consolidated income statements should be read in conjunction with the audited financial statements</t>
  </si>
  <si>
    <t>for the financial period ended 30 June 2004.</t>
  </si>
  <si>
    <t xml:space="preserve">The condensed consolidated balance sheets should be read in conjunction with the audited </t>
  </si>
  <si>
    <t>financial statements for the financial period ended 30 June 2004.</t>
  </si>
  <si>
    <t>OTHER</t>
  </si>
  <si>
    <t>31st March 2004</t>
  </si>
  <si>
    <t>RESERVES</t>
  </si>
  <si>
    <t>(At 1st October 2003)</t>
  </si>
  <si>
    <t>Issue of ordinary shares:</t>
  </si>
  <si>
    <t xml:space="preserve">    Acquisition of subsidiary</t>
  </si>
  <si>
    <t xml:space="preserve">    Debt settlement</t>
  </si>
  <si>
    <t>Equity component of ICCPS</t>
  </si>
  <si>
    <t>Equity component of RCULS</t>
  </si>
  <si>
    <t>(At 31st March 2004)</t>
  </si>
  <si>
    <t>6 MONTHS</t>
  </si>
  <si>
    <t>6 months ended</t>
  </si>
  <si>
    <t>31st Mar 2004</t>
  </si>
  <si>
    <t>Impairment of goodwill</t>
  </si>
  <si>
    <t>Waiver of interest expenses</t>
  </si>
  <si>
    <t>Net cash and cash equivalent assumed from acquisition of subsidiary</t>
  </si>
  <si>
    <t>Proceed from issuance of ordinary shares</t>
  </si>
  <si>
    <t>Proceed from issuance of ICCPS</t>
  </si>
  <si>
    <t>Proceed from issuance of RCULS</t>
  </si>
  <si>
    <t>Assumption of subsidiaries' debts</t>
  </si>
  <si>
    <t>The condensed consolidated cash flow statements should be read in conjunction with the audited financial</t>
  </si>
  <si>
    <t>statements for the financial period ended 30 June 2004.</t>
  </si>
  <si>
    <t xml:space="preserve">The condensed consolidated statements of changes in equity should be read in conjunction with the audited </t>
  </si>
  <si>
    <t>Mar 2005</t>
  </si>
  <si>
    <t>Mar 2004</t>
  </si>
  <si>
    <t>6 months</t>
  </si>
  <si>
    <t>CONDENSED CONSOLIDATED STATEMENTS OF RECOGNISED GAINS AND LOSSES</t>
  </si>
  <si>
    <t xml:space="preserve">The condensed consolidated statements of recognised gains and losses should be read in conjunction with </t>
  </si>
  <si>
    <t>the audited financial statements for the financial period ended 30 June 2004.</t>
  </si>
  <si>
    <t>Cash generated from operations</t>
  </si>
  <si>
    <t>Operating profit/ (loss) before changes in working capital</t>
  </si>
  <si>
    <t>Net cash generated from operating activities</t>
  </si>
  <si>
    <t>Note:</t>
  </si>
  <si>
    <t>1. The cumulative figures for 2004 is for the period between 1 October 2003 to 31 March 2004 (6 months) whereas</t>
  </si>
  <si>
    <t xml:space="preserve">     the cumulative figures for  2005 is for the period between 1 July 2004 to 31 March 2005 (9 months).</t>
  </si>
  <si>
    <t>Increase in receivables</t>
  </si>
  <si>
    <t>Basic earning/(loss) per share(sen)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</si>
</sst>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0.00_);[Red]\(0.00\)"/>
    <numFmt numFmtId="180" formatCode="0.00;[Red]0.00"/>
    <numFmt numFmtId="181" formatCode="0_);[Red]\(0\)"/>
    <numFmt numFmtId="182" formatCode="#,##0.000_);[Red]\(#,##0.000\)"/>
    <numFmt numFmtId="183" formatCode="#,##0.0000_);[Red]\(#,##0.0000\)"/>
    <numFmt numFmtId="184" formatCode="#,##0.0_);[Red]\(#,##0.0\)"/>
    <numFmt numFmtId="185" formatCode="_(* #,##0.0_);_(* \(#,##0.0\);_(* &quot;-&quot;??_);_(@_)"/>
    <numFmt numFmtId="186" formatCode="#,##0.0_);\(#,##0.0\)"/>
    <numFmt numFmtId="187" formatCode="#,##0.0000_);\(#,##0.0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">
    <font>
      <sz val="10"/>
      <name val="Arial"/>
      <family val="0"/>
    </font>
    <font>
      <sz val="12"/>
      <name val="Arial MT"/>
      <family val="0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19" applyFont="1">
      <alignment/>
      <protection/>
    </xf>
    <xf numFmtId="41" fontId="3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19" applyNumberFormat="1" applyFont="1">
      <alignment/>
      <protection/>
    </xf>
    <xf numFmtId="41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0" fontId="4" fillId="0" borderId="0" xfId="0" applyNumberFormat="1" applyFont="1" applyFill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3" xfId="0" applyNumberFormat="1" applyFont="1" applyBorder="1" applyAlignment="1">
      <alignment horizontal="center"/>
    </xf>
    <xf numFmtId="41" fontId="0" fillId="0" borderId="4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3" fontId="0" fillId="0" borderId="6" xfId="0" applyNumberFormat="1" applyFont="1" applyBorder="1" applyAlignment="1">
      <alignment/>
    </xf>
    <xf numFmtId="43" fontId="0" fillId="0" borderId="7" xfId="0" applyNumberFormat="1" applyFont="1" applyBorder="1" applyAlignment="1">
      <alignment/>
    </xf>
    <xf numFmtId="41" fontId="0" fillId="0" borderId="4" xfId="0" applyNumberFormat="1" applyFont="1" applyBorder="1" applyAlignment="1">
      <alignment horizontal="center"/>
    </xf>
    <xf numFmtId="0" fontId="0" fillId="0" borderId="0" xfId="19" applyFont="1">
      <alignment/>
      <protection/>
    </xf>
    <xf numFmtId="0" fontId="4" fillId="0" borderId="0" xfId="19" applyFont="1">
      <alignment/>
      <protection/>
    </xf>
    <xf numFmtId="41" fontId="4" fillId="0" borderId="0" xfId="0" applyNumberFormat="1" applyFont="1" applyAlignment="1">
      <alignment horizontal="center"/>
    </xf>
    <xf numFmtId="41" fontId="0" fillId="0" borderId="2" xfId="0" applyNumberFormat="1" applyFont="1" applyBorder="1" applyAlignment="1">
      <alignment horizontal="center"/>
    </xf>
    <xf numFmtId="41" fontId="0" fillId="0" borderId="8" xfId="0" applyNumberFormat="1" applyFont="1" applyBorder="1" applyAlignment="1">
      <alignment horizontal="center"/>
    </xf>
    <xf numFmtId="41" fontId="0" fillId="0" borderId="7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3" fillId="2" borderId="6" xfId="0" applyNumberFormat="1" applyFont="1" applyFill="1" applyBorder="1" applyAlignment="1">
      <alignment/>
    </xf>
    <xf numFmtId="41" fontId="0" fillId="2" borderId="9" xfId="0" applyNumberFormat="1" applyFont="1" applyFill="1" applyBorder="1" applyAlignment="1">
      <alignment horizontal="center"/>
    </xf>
    <xf numFmtId="41" fontId="0" fillId="2" borderId="10" xfId="0" applyNumberFormat="1" applyFont="1" applyFill="1" applyBorder="1" applyAlignment="1">
      <alignment/>
    </xf>
    <xf numFmtId="41" fontId="0" fillId="2" borderId="11" xfId="0" applyNumberFormat="1" applyFont="1" applyFill="1" applyBorder="1" applyAlignment="1">
      <alignment horizontal="center"/>
    </xf>
    <xf numFmtId="41" fontId="0" fillId="2" borderId="10" xfId="20" applyNumberFormat="1" applyFont="1" applyFill="1" applyBorder="1">
      <alignment/>
      <protection/>
    </xf>
    <xf numFmtId="41" fontId="3" fillId="2" borderId="10" xfId="0" applyNumberFormat="1" applyFont="1" applyFill="1" applyBorder="1" applyAlignment="1">
      <alignment/>
    </xf>
    <xf numFmtId="41" fontId="0" fillId="2" borderId="12" xfId="0" applyNumberFormat="1" applyFont="1" applyFill="1" applyBorder="1" applyAlignment="1">
      <alignment horizontal="center"/>
    </xf>
    <xf numFmtId="41" fontId="3" fillId="2" borderId="13" xfId="0" applyNumberFormat="1" applyFont="1" applyFill="1" applyBorder="1" applyAlignment="1">
      <alignment/>
    </xf>
    <xf numFmtId="41" fontId="0" fillId="2" borderId="14" xfId="0" applyNumberFormat="1" applyFont="1" applyFill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8" xfId="0" applyNumberFormat="1" applyFont="1" applyBorder="1" applyAlignment="1">
      <alignment horizontal="center"/>
    </xf>
    <xf numFmtId="41" fontId="3" fillId="2" borderId="7" xfId="0" applyNumberFormat="1" applyFont="1" applyFill="1" applyBorder="1" applyAlignment="1">
      <alignment/>
    </xf>
    <xf numFmtId="41" fontId="0" fillId="2" borderId="0" xfId="0" applyNumberFormat="1" applyFont="1" applyFill="1" applyBorder="1" applyAlignment="1">
      <alignment/>
    </xf>
    <xf numFmtId="41" fontId="0" fillId="2" borderId="0" xfId="20" applyNumberFormat="1" applyFont="1" applyFill="1" applyBorder="1">
      <alignment/>
      <protection/>
    </xf>
    <xf numFmtId="41" fontId="3" fillId="2" borderId="0" xfId="0" applyNumberFormat="1" applyFont="1" applyFill="1" applyBorder="1" applyAlignment="1">
      <alignment/>
    </xf>
    <xf numFmtId="41" fontId="3" fillId="2" borderId="4" xfId="0" applyNumberFormat="1" applyFont="1" applyFill="1" applyBorder="1" applyAlignment="1">
      <alignment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3" fillId="0" borderId="0" xfId="19" applyFont="1" applyAlignment="1">
      <alignment horizontal="left"/>
      <protection/>
    </xf>
    <xf numFmtId="0" fontId="3" fillId="0" borderId="4" xfId="19" applyFont="1" applyBorder="1" applyAlignment="1">
      <alignment horizontal="centerContinuous"/>
      <protection/>
    </xf>
    <xf numFmtId="0" fontId="3" fillId="0" borderId="0" xfId="19" applyFont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Continuous"/>
      <protection/>
    </xf>
    <xf numFmtId="14" fontId="3" fillId="0" borderId="0" xfId="19" applyNumberFormat="1" applyFont="1" applyAlignment="1">
      <alignment horizontal="center"/>
      <protection/>
    </xf>
    <xf numFmtId="0" fontId="3" fillId="0" borderId="4" xfId="19" applyFont="1" applyBorder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Alignment="1">
      <alignment horizontal="justify" wrapText="1"/>
      <protection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Font="1" applyBorder="1" applyAlignment="1">
      <alignment/>
    </xf>
    <xf numFmtId="178" fontId="0" fillId="0" borderId="0" xfId="15" applyNumberFormat="1" applyFont="1" applyBorder="1" applyAlignment="1">
      <alignment horizontal="right"/>
    </xf>
    <xf numFmtId="37" fontId="0" fillId="0" borderId="0" xfId="19" applyNumberFormat="1" applyFont="1" applyBorder="1">
      <alignment/>
      <protection/>
    </xf>
    <xf numFmtId="37" fontId="0" fillId="0" borderId="0" xfId="15" applyNumberFormat="1" applyFont="1" applyAlignment="1">
      <alignment horizontal="right"/>
    </xf>
    <xf numFmtId="37" fontId="0" fillId="0" borderId="0" xfId="15" applyNumberFormat="1" applyFont="1" applyAlignment="1">
      <alignment/>
    </xf>
    <xf numFmtId="178" fontId="0" fillId="0" borderId="0" xfId="15" applyNumberFormat="1" applyFont="1" applyAlignment="1">
      <alignment horizontal="right"/>
    </xf>
    <xf numFmtId="37" fontId="0" fillId="0" borderId="0" xfId="19" applyNumberFormat="1" applyFont="1">
      <alignment/>
      <protection/>
    </xf>
    <xf numFmtId="0" fontId="0" fillId="0" borderId="0" xfId="19" applyFont="1" applyAlignment="1">
      <alignment horizontal="left" wrapText="1"/>
      <protection/>
    </xf>
    <xf numFmtId="39" fontId="0" fillId="0" borderId="0" xfId="15" applyNumberFormat="1" applyFont="1" applyBorder="1" applyAlignment="1">
      <alignment/>
    </xf>
    <xf numFmtId="39" fontId="0" fillId="0" borderId="0" xfId="15" applyNumberFormat="1" applyFont="1" applyBorder="1" applyAlignment="1">
      <alignment horizontal="right"/>
    </xf>
    <xf numFmtId="38" fontId="0" fillId="0" borderId="0" xfId="15" applyNumberFormat="1" applyFont="1" applyBorder="1" applyAlignment="1">
      <alignment/>
    </xf>
    <xf numFmtId="38" fontId="0" fillId="0" borderId="0" xfId="19" applyNumberFormat="1" applyFont="1">
      <alignment/>
      <protection/>
    </xf>
    <xf numFmtId="38" fontId="0" fillId="0" borderId="0" xfId="15" applyNumberFormat="1" applyFont="1" applyBorder="1" applyAlignment="1">
      <alignment horizontal="right"/>
    </xf>
    <xf numFmtId="38" fontId="0" fillId="0" borderId="0" xfId="15" applyNumberFormat="1" applyFont="1" applyBorder="1" applyAlignment="1">
      <alignment horizontal="centerContinuous"/>
    </xf>
    <xf numFmtId="187" fontId="0" fillId="0" borderId="0" xfId="19" applyNumberFormat="1" applyFont="1">
      <alignment/>
      <protection/>
    </xf>
    <xf numFmtId="187" fontId="0" fillId="0" borderId="0" xfId="15" applyNumberFormat="1" applyFont="1" applyBorder="1" applyAlignment="1">
      <alignment/>
    </xf>
    <xf numFmtId="187" fontId="0" fillId="0" borderId="0" xfId="15" applyNumberFormat="1" applyFont="1" applyBorder="1" applyAlignment="1">
      <alignment horizontal="right"/>
    </xf>
    <xf numFmtId="39" fontId="0" fillId="0" borderId="0" xfId="19" applyNumberFormat="1" applyFont="1" applyBorder="1">
      <alignment/>
      <protection/>
    </xf>
    <xf numFmtId="43" fontId="0" fillId="0" borderId="4" xfId="15" applyFont="1" applyBorder="1" applyAlignment="1">
      <alignment horizontal="center"/>
    </xf>
    <xf numFmtId="43" fontId="0" fillId="0" borderId="13" xfId="15" applyFont="1" applyBorder="1" applyAlignment="1">
      <alignment horizontal="center"/>
    </xf>
    <xf numFmtId="178" fontId="0" fillId="0" borderId="0" xfId="15" applyNumberFormat="1" applyFont="1" applyAlignment="1">
      <alignment/>
    </xf>
    <xf numFmtId="178" fontId="0" fillId="0" borderId="2" xfId="15" applyNumberFormat="1" applyFont="1" applyBorder="1" applyAlignment="1">
      <alignment/>
    </xf>
    <xf numFmtId="178" fontId="4" fillId="0" borderId="0" xfId="15" applyNumberFormat="1" applyFont="1" applyFill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0" xfId="15" applyNumberFormat="1" applyFont="1" applyBorder="1" applyAlignment="1">
      <alignment horizontal="center"/>
    </xf>
    <xf numFmtId="178" fontId="0" fillId="0" borderId="3" xfId="15" applyNumberFormat="1" applyFont="1" applyBorder="1" applyAlignment="1">
      <alignment horizontal="center"/>
    </xf>
    <xf numFmtId="178" fontId="0" fillId="0" borderId="4" xfId="15" applyNumberFormat="1" applyFont="1" applyBorder="1" applyAlignment="1">
      <alignment/>
    </xf>
    <xf numFmtId="178" fontId="0" fillId="0" borderId="5" xfId="15" applyNumberFormat="1" applyFont="1" applyBorder="1" applyAlignment="1">
      <alignment/>
    </xf>
    <xf numFmtId="178" fontId="0" fillId="0" borderId="0" xfId="15" applyNumberFormat="1" applyFont="1" applyBorder="1" applyAlignment="1">
      <alignment/>
    </xf>
    <xf numFmtId="178" fontId="4" fillId="0" borderId="0" xfId="15" applyNumberFormat="1" applyFont="1" applyFill="1" applyAlignment="1" quotePrefix="1">
      <alignment horizontal="center"/>
    </xf>
    <xf numFmtId="178" fontId="0" fillId="0" borderId="15" xfId="15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Continuous"/>
    </xf>
    <xf numFmtId="0" fontId="0" fillId="0" borderId="9" xfId="0" applyNumberFormat="1" applyFont="1" applyBorder="1" applyAlignment="1">
      <alignment horizontal="centerContinuous"/>
    </xf>
    <xf numFmtId="0" fontId="0" fillId="0" borderId="16" xfId="0" applyNumberFormat="1" applyFont="1" applyBorder="1" applyAlignment="1">
      <alignment horizontal="center"/>
    </xf>
    <xf numFmtId="41" fontId="0" fillId="0" borderId="9" xfId="0" applyNumberFormat="1" applyFont="1" applyBorder="1" applyAlignment="1">
      <alignment/>
    </xf>
    <xf numFmtId="41" fontId="0" fillId="0" borderId="17" xfId="0" applyNumberFormat="1" applyFont="1" applyBorder="1" applyAlignment="1">
      <alignment horizontal="center"/>
    </xf>
    <xf numFmtId="41" fontId="0" fillId="0" borderId="13" xfId="0" applyNumberFormat="1" applyFont="1" applyBorder="1" applyAlignment="1">
      <alignment horizontal="center"/>
    </xf>
    <xf numFmtId="41" fontId="0" fillId="0" borderId="14" xfId="0" applyNumberFormat="1" applyFont="1" applyBorder="1" applyAlignment="1">
      <alignment horizontal="center"/>
    </xf>
    <xf numFmtId="41" fontId="0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1" fontId="0" fillId="0" borderId="10" xfId="0" applyNumberFormat="1" applyFont="1" applyBorder="1" applyAlignment="1">
      <alignment horizontal="center"/>
    </xf>
    <xf numFmtId="41" fontId="0" fillId="0" borderId="16" xfId="0" applyNumberFormat="1" applyFont="1" applyBorder="1" applyAlignment="1">
      <alignment horizontal="center"/>
    </xf>
    <xf numFmtId="41" fontId="0" fillId="0" borderId="11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41" fontId="0" fillId="0" borderId="18" xfId="0" applyNumberFormat="1" applyFont="1" applyBorder="1" applyAlignment="1">
      <alignment horizontal="center"/>
    </xf>
    <xf numFmtId="41" fontId="0" fillId="0" borderId="17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8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178" fontId="0" fillId="0" borderId="14" xfId="15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41" fontId="0" fillId="0" borderId="20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3" fontId="0" fillId="0" borderId="7" xfId="15" applyFont="1" applyBorder="1" applyAlignment="1">
      <alignment/>
    </xf>
    <xf numFmtId="43" fontId="0" fillId="0" borderId="9" xfId="15" applyFont="1" applyBorder="1" applyAlignment="1">
      <alignment/>
    </xf>
    <xf numFmtId="43" fontId="0" fillId="0" borderId="14" xfId="15" applyFont="1" applyBorder="1" applyAlignment="1">
      <alignment horizontal="center"/>
    </xf>
    <xf numFmtId="43" fontId="0" fillId="0" borderId="0" xfId="15" applyFont="1" applyBorder="1" applyAlignment="1">
      <alignment horizontal="right"/>
    </xf>
    <xf numFmtId="41" fontId="0" fillId="0" borderId="7" xfId="0" applyNumberFormat="1" applyFont="1" applyBorder="1" applyAlignment="1">
      <alignment horizontal="center"/>
    </xf>
    <xf numFmtId="0" fontId="3" fillId="0" borderId="0" xfId="19" applyFont="1" applyBorder="1" applyAlignment="1">
      <alignment horizontal="left"/>
      <protection/>
    </xf>
    <xf numFmtId="0" fontId="6" fillId="0" borderId="0" xfId="19" applyFont="1" applyBorder="1">
      <alignment/>
      <protection/>
    </xf>
    <xf numFmtId="0" fontId="3" fillId="0" borderId="0" xfId="19" applyFont="1" applyBorder="1">
      <alignment/>
      <protection/>
    </xf>
    <xf numFmtId="14" fontId="3" fillId="0" borderId="0" xfId="19" applyNumberFormat="1" applyFont="1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Font="1" applyBorder="1" applyAlignment="1">
      <alignment horizontal="justify" wrapText="1"/>
      <protection/>
    </xf>
    <xf numFmtId="0" fontId="0" fillId="0" borderId="0" xfId="19" applyFont="1" applyBorder="1" applyAlignment="1">
      <alignment horizontal="left" wrapText="1"/>
      <protection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 worksheet Sep 2001 " xfId="19"/>
    <cellStyle name="Normal_jooei9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47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782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782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782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782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85725</xdr:rowOff>
    </xdr:from>
    <xdr:to>
      <xdr:col>3</xdr:col>
      <xdr:colOff>828675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2647950" y="1381125"/>
          <a:ext cx="1552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85725</xdr:rowOff>
    </xdr:from>
    <xdr:to>
      <xdr:col>4</xdr:col>
      <xdr:colOff>990600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4210050" y="138112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27</xdr:row>
      <xdr:rowOff>95250</xdr:rowOff>
    </xdr:from>
    <xdr:to>
      <xdr:col>3</xdr:col>
      <xdr:colOff>762000</xdr:colOff>
      <xdr:row>27</xdr:row>
      <xdr:rowOff>95250</xdr:rowOff>
    </xdr:to>
    <xdr:sp>
      <xdr:nvSpPr>
        <xdr:cNvPr id="3" name="Line 3"/>
        <xdr:cNvSpPr>
          <a:spLocks/>
        </xdr:cNvSpPr>
      </xdr:nvSpPr>
      <xdr:spPr>
        <a:xfrm>
          <a:off x="2638425" y="4486275"/>
          <a:ext cx="1495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85725</xdr:rowOff>
    </xdr:from>
    <xdr:to>
      <xdr:col>4</xdr:col>
      <xdr:colOff>990600</xdr:colOff>
      <xdr:row>27</xdr:row>
      <xdr:rowOff>85725</xdr:rowOff>
    </xdr:to>
    <xdr:sp>
      <xdr:nvSpPr>
        <xdr:cNvPr id="4" name="Line 4"/>
        <xdr:cNvSpPr>
          <a:spLocks/>
        </xdr:cNvSpPr>
      </xdr:nvSpPr>
      <xdr:spPr>
        <a:xfrm>
          <a:off x="4210050" y="4476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1">
      <selection activeCell="E4" sqref="E4"/>
    </sheetView>
  </sheetViews>
  <sheetFormatPr defaultColWidth="9.140625" defaultRowHeight="12.75"/>
  <cols>
    <col min="1" max="1" width="3.8515625" style="17" customWidth="1"/>
    <col min="2" max="2" width="32.140625" style="17" customWidth="1"/>
    <col min="3" max="3" width="12.7109375" style="17" bestFit="1" customWidth="1"/>
    <col min="4" max="4" width="2.140625" style="17" customWidth="1"/>
    <col min="5" max="5" width="15.421875" style="17" customWidth="1"/>
    <col min="6" max="6" width="2.140625" style="17" customWidth="1"/>
    <col min="7" max="7" width="12.7109375" style="17" customWidth="1"/>
    <col min="8" max="8" width="2.140625" style="17" customWidth="1"/>
    <col min="9" max="9" width="13.8515625" style="17" customWidth="1"/>
    <col min="10" max="10" width="15.140625" style="17" customWidth="1"/>
    <col min="11" max="11" width="9.28125" style="17" customWidth="1"/>
    <col min="12" max="12" width="0" style="17" hidden="1" customWidth="1"/>
    <col min="13" max="16384" width="9.140625" style="17" customWidth="1"/>
  </cols>
  <sheetData>
    <row r="1" ht="12.75">
      <c r="A1" s="42" t="s">
        <v>0</v>
      </c>
    </row>
    <row r="2" ht="12.75">
      <c r="A2" s="42" t="s">
        <v>1</v>
      </c>
    </row>
    <row r="4" spans="1:2" ht="12.75">
      <c r="A4" s="43" t="s">
        <v>133</v>
      </c>
      <c r="B4" s="18"/>
    </row>
    <row r="5" spans="1:2" ht="12.75">
      <c r="A5" s="43"/>
      <c r="B5" s="18"/>
    </row>
    <row r="6" ht="12.75">
      <c r="A6" s="17" t="s">
        <v>2</v>
      </c>
    </row>
    <row r="7" ht="12.75">
      <c r="A7" s="17" t="s">
        <v>134</v>
      </c>
    </row>
    <row r="9" spans="1:2" ht="12.75">
      <c r="A9" s="44" t="s">
        <v>3</v>
      </c>
      <c r="B9" s="43"/>
    </row>
    <row r="10" spans="1:2" ht="12.75">
      <c r="A10" s="44"/>
      <c r="B10" s="43"/>
    </row>
    <row r="11" spans="3:11" ht="12.75">
      <c r="C11" s="45" t="s">
        <v>4</v>
      </c>
      <c r="D11" s="45"/>
      <c r="E11" s="45"/>
      <c r="F11" s="46"/>
      <c r="G11" s="45" t="s">
        <v>5</v>
      </c>
      <c r="H11" s="45"/>
      <c r="I11" s="45"/>
      <c r="K11" s="47"/>
    </row>
    <row r="12" spans="3:11" ht="12.75">
      <c r="C12" s="48"/>
      <c r="D12" s="49"/>
      <c r="E12" s="48" t="s">
        <v>6</v>
      </c>
      <c r="F12" s="46"/>
      <c r="G12" s="49"/>
      <c r="H12" s="49"/>
      <c r="I12" s="48" t="s">
        <v>6</v>
      </c>
      <c r="K12" s="47"/>
    </row>
    <row r="13" spans="3:11" ht="12.75">
      <c r="C13" s="48" t="s">
        <v>7</v>
      </c>
      <c r="D13" s="48"/>
      <c r="E13" s="48" t="s">
        <v>8</v>
      </c>
      <c r="F13" s="46"/>
      <c r="G13" s="48" t="s">
        <v>7</v>
      </c>
      <c r="H13" s="48"/>
      <c r="I13" s="48" t="s">
        <v>8</v>
      </c>
      <c r="K13" s="47"/>
    </row>
    <row r="14" spans="3:11" ht="12.75">
      <c r="C14" s="48" t="s">
        <v>9</v>
      </c>
      <c r="D14" s="48"/>
      <c r="E14" s="48" t="s">
        <v>9</v>
      </c>
      <c r="F14" s="46"/>
      <c r="G14" s="48" t="s">
        <v>10</v>
      </c>
      <c r="H14" s="48"/>
      <c r="I14" s="48" t="s">
        <v>11</v>
      </c>
      <c r="K14" s="47"/>
    </row>
    <row r="15" spans="1:11" ht="12.75">
      <c r="A15" s="46"/>
      <c r="B15" s="42"/>
      <c r="C15" s="50" t="s">
        <v>135</v>
      </c>
      <c r="D15" s="46"/>
      <c r="E15" s="50" t="s">
        <v>136</v>
      </c>
      <c r="F15" s="46"/>
      <c r="G15" s="50" t="str">
        <f>C15</f>
        <v>31.03.05</v>
      </c>
      <c r="H15" s="46"/>
      <c r="I15" s="50" t="str">
        <f>E15</f>
        <v>31.03.04</v>
      </c>
      <c r="K15" s="47"/>
    </row>
    <row r="16" spans="3:12" ht="12.75">
      <c r="C16" s="51" t="s">
        <v>12</v>
      </c>
      <c r="D16" s="46"/>
      <c r="E16" s="51" t="s">
        <v>12</v>
      </c>
      <c r="F16" s="46"/>
      <c r="G16" s="51" t="s">
        <v>12</v>
      </c>
      <c r="H16" s="46"/>
      <c r="I16" s="51" t="s">
        <v>12</v>
      </c>
      <c r="K16" s="47"/>
      <c r="L16" s="51" t="s">
        <v>13</v>
      </c>
    </row>
    <row r="17" spans="1:11" ht="12.75">
      <c r="A17" s="52"/>
      <c r="C17" s="53"/>
      <c r="D17" s="53"/>
      <c r="E17" s="53"/>
      <c r="F17" s="53"/>
      <c r="G17" s="53"/>
      <c r="H17" s="53"/>
      <c r="I17" s="53"/>
      <c r="K17" s="47"/>
    </row>
    <row r="18" spans="1:11" ht="12.75">
      <c r="A18" s="52">
        <v>1</v>
      </c>
      <c r="B18" s="54" t="s">
        <v>14</v>
      </c>
      <c r="C18" s="55">
        <f>Consol_PL!B16/1000</f>
        <v>10799.421</v>
      </c>
      <c r="D18" s="56"/>
      <c r="E18" s="57">
        <f>Consol_PL!C16/1000</f>
        <v>1755.719</v>
      </c>
      <c r="F18" s="58"/>
      <c r="G18" s="55">
        <f>Consol_PL!D16/1000</f>
        <v>36630.594</v>
      </c>
      <c r="H18" s="55"/>
      <c r="I18" s="57">
        <f>Consol_PL!E16/1000</f>
        <v>1901.994</v>
      </c>
      <c r="K18" s="47"/>
    </row>
    <row r="19" spans="1:11" ht="12.75">
      <c r="A19" s="52"/>
      <c r="B19" s="54"/>
      <c r="C19" s="59"/>
      <c r="D19" s="60"/>
      <c r="E19" s="61"/>
      <c r="F19" s="62"/>
      <c r="G19" s="59"/>
      <c r="H19" s="59"/>
      <c r="I19" s="61"/>
      <c r="K19" s="47"/>
    </row>
    <row r="20" spans="1:9" ht="12.75">
      <c r="A20" s="52">
        <v>2</v>
      </c>
      <c r="B20" s="63" t="s">
        <v>15</v>
      </c>
      <c r="C20" s="55">
        <f>Consol_PL!B30/1000</f>
        <v>-1610.004</v>
      </c>
      <c r="D20" s="60"/>
      <c r="E20" s="61">
        <f>Consol_PL!C30/1000</f>
        <v>36153.969</v>
      </c>
      <c r="F20" s="62"/>
      <c r="G20" s="59">
        <f>Consol_PL!D30/1000</f>
        <v>-5600.753</v>
      </c>
      <c r="H20" s="59"/>
      <c r="I20" s="61">
        <f>Consol_PL!E30/1000</f>
        <v>-176087.389</v>
      </c>
    </row>
    <row r="21" spans="1:9" ht="12.75">
      <c r="A21" s="52"/>
      <c r="B21" s="54"/>
      <c r="C21" s="59"/>
      <c r="D21" s="60"/>
      <c r="E21" s="61"/>
      <c r="F21" s="62"/>
      <c r="G21" s="59"/>
      <c r="H21" s="59"/>
      <c r="I21" s="61"/>
    </row>
    <row r="22" spans="1:9" ht="12.75">
      <c r="A22" s="52">
        <v>3</v>
      </c>
      <c r="B22" s="63" t="s">
        <v>16</v>
      </c>
      <c r="C22" s="55">
        <f>Consol_PL!B40/1000</f>
        <v>-1641.674</v>
      </c>
      <c r="D22" s="56"/>
      <c r="E22" s="57">
        <f>Consol_PL!C40/1000</f>
        <v>36153.969</v>
      </c>
      <c r="F22" s="62"/>
      <c r="G22" s="55">
        <f>Consol_PL!D40/1000</f>
        <v>-6301.166</v>
      </c>
      <c r="H22" s="55"/>
      <c r="I22" s="57">
        <f>Consol_PL!E40/1000</f>
        <v>-176086.82</v>
      </c>
    </row>
    <row r="23" spans="1:9" ht="12.75">
      <c r="A23" s="52"/>
      <c r="B23" s="63" t="s">
        <v>17</v>
      </c>
      <c r="C23" s="55"/>
      <c r="D23" s="56"/>
      <c r="E23" s="57"/>
      <c r="F23" s="62"/>
      <c r="G23" s="55"/>
      <c r="H23" s="55"/>
      <c r="I23" s="57"/>
    </row>
    <row r="24" spans="1:9" ht="12.75">
      <c r="A24" s="52"/>
      <c r="B24" s="54"/>
      <c r="C24" s="55"/>
      <c r="D24" s="56"/>
      <c r="E24" s="57"/>
      <c r="F24" s="62"/>
      <c r="G24" s="55"/>
      <c r="H24" s="55"/>
      <c r="I24" s="57"/>
    </row>
    <row r="25" spans="1:9" ht="12.75">
      <c r="A25" s="52">
        <v>4</v>
      </c>
      <c r="B25" s="63" t="s">
        <v>18</v>
      </c>
      <c r="C25" s="55">
        <f>Consol_PL!B40/1000</f>
        <v>-1641.674</v>
      </c>
      <c r="D25" s="56"/>
      <c r="E25" s="57">
        <f>SUM(E22:E24)</f>
        <v>36153.969</v>
      </c>
      <c r="F25" s="58"/>
      <c r="G25" s="55">
        <f>Consol_PL!D40/1000</f>
        <v>-6301.166</v>
      </c>
      <c r="H25" s="55"/>
      <c r="I25" s="57">
        <f>Consol_PL!E40/1000</f>
        <v>-176086.82</v>
      </c>
    </row>
    <row r="26" spans="1:9" ht="12.75">
      <c r="A26" s="52"/>
      <c r="B26" s="54"/>
      <c r="C26" s="55"/>
      <c r="D26" s="56"/>
      <c r="E26" s="57"/>
      <c r="F26" s="58"/>
      <c r="G26" s="55"/>
      <c r="H26" s="55"/>
      <c r="I26" s="57"/>
    </row>
    <row r="27" spans="1:9" ht="12.75">
      <c r="A27" s="52">
        <v>5</v>
      </c>
      <c r="B27" s="54" t="s">
        <v>187</v>
      </c>
      <c r="C27" s="65">
        <f>Consol_PL!B43</f>
        <v>-1.9737117437612461</v>
      </c>
      <c r="D27" s="64"/>
      <c r="E27" s="120">
        <f>Consol_PL!C43</f>
        <v>272.5131981027324</v>
      </c>
      <c r="F27" s="73"/>
      <c r="G27" s="65">
        <f>Consol_PL!D43</f>
        <v>-7.575612048183182</v>
      </c>
      <c r="H27" s="65"/>
      <c r="I27" s="120">
        <f>Consol_PL!E43</f>
        <v>-2678.707096214769</v>
      </c>
    </row>
    <row r="28" spans="1:9" ht="12.75">
      <c r="A28" s="52"/>
      <c r="B28" s="54"/>
      <c r="C28" s="55"/>
      <c r="D28" s="56"/>
      <c r="E28" s="57"/>
      <c r="F28" s="58"/>
      <c r="G28" s="55"/>
      <c r="H28" s="55"/>
      <c r="I28" s="57"/>
    </row>
    <row r="29" spans="1:9" ht="12.75">
      <c r="A29" s="52">
        <v>6</v>
      </c>
      <c r="B29" s="54" t="s">
        <v>19</v>
      </c>
      <c r="C29" s="57">
        <v>0</v>
      </c>
      <c r="D29" s="66"/>
      <c r="E29" s="57">
        <v>0</v>
      </c>
      <c r="F29" s="67"/>
      <c r="G29" s="57">
        <v>0</v>
      </c>
      <c r="H29" s="68"/>
      <c r="I29" s="57">
        <v>0</v>
      </c>
    </row>
    <row r="30" spans="1:9" ht="30" customHeight="1">
      <c r="A30" s="52"/>
      <c r="B30" s="54"/>
      <c r="C30" s="69" t="s">
        <v>20</v>
      </c>
      <c r="D30" s="69"/>
      <c r="E30" s="69"/>
      <c r="F30" s="67"/>
      <c r="G30" s="69" t="s">
        <v>21</v>
      </c>
      <c r="H30" s="69"/>
      <c r="I30" s="69"/>
    </row>
    <row r="31" spans="1:9" ht="12.75">
      <c r="A31" s="52"/>
      <c r="B31" s="54"/>
      <c r="C31" s="69" t="s">
        <v>22</v>
      </c>
      <c r="D31" s="69"/>
      <c r="E31" s="69"/>
      <c r="F31" s="67"/>
      <c r="G31" s="69" t="s">
        <v>23</v>
      </c>
      <c r="H31" s="69"/>
      <c r="I31" s="69"/>
    </row>
    <row r="32" spans="1:9" ht="12.75">
      <c r="A32" s="52">
        <v>7</v>
      </c>
      <c r="B32" s="63" t="s">
        <v>24</v>
      </c>
      <c r="C32" s="70"/>
      <c r="D32" s="71"/>
      <c r="E32" s="72">
        <f>(Consol_BS!B42-Consol_BS!B16)/Consol_BS!B36</f>
        <v>0.39453298796377445</v>
      </c>
      <c r="F32" s="70"/>
      <c r="G32" s="72"/>
      <c r="H32" s="72"/>
      <c r="I32" s="72">
        <f>(Consol_BS!D42-Consol_BS!D16)/Consol_BS!D36</f>
        <v>0.4582472443189787</v>
      </c>
    </row>
    <row r="36" spans="1:10" ht="12.75">
      <c r="A36" s="122"/>
      <c r="B36" s="123"/>
      <c r="C36" s="53"/>
      <c r="D36" s="53"/>
      <c r="E36" s="53"/>
      <c r="F36" s="53"/>
      <c r="G36" s="53"/>
      <c r="H36" s="53"/>
      <c r="I36" s="53"/>
      <c r="J36" s="53"/>
    </row>
    <row r="37" spans="1:10" ht="12.75">
      <c r="A37" s="122"/>
      <c r="B37" s="123"/>
      <c r="C37" s="53"/>
      <c r="D37" s="53"/>
      <c r="E37" s="53"/>
      <c r="F37" s="53"/>
      <c r="G37" s="53"/>
      <c r="H37" s="53"/>
      <c r="I37" s="53"/>
      <c r="J37" s="53"/>
    </row>
    <row r="38" spans="1:10" ht="12.75">
      <c r="A38" s="53"/>
      <c r="B38" s="53"/>
      <c r="C38" s="49"/>
      <c r="D38" s="49"/>
      <c r="E38" s="49"/>
      <c r="F38" s="48"/>
      <c r="G38" s="49"/>
      <c r="H38" s="49"/>
      <c r="I38" s="49"/>
      <c r="J38" s="53"/>
    </row>
    <row r="39" spans="1:10" ht="12.75">
      <c r="A39" s="48"/>
      <c r="B39" s="124"/>
      <c r="C39" s="125"/>
      <c r="D39" s="48"/>
      <c r="E39" s="125"/>
      <c r="F39" s="48"/>
      <c r="G39" s="125"/>
      <c r="H39" s="48"/>
      <c r="I39" s="125"/>
      <c r="J39" s="53"/>
    </row>
    <row r="40" spans="1:10" ht="12.75">
      <c r="A40" s="53"/>
      <c r="B40" s="53"/>
      <c r="C40" s="48"/>
      <c r="D40" s="48"/>
      <c r="E40" s="48"/>
      <c r="F40" s="48"/>
      <c r="G40" s="48"/>
      <c r="H40" s="48"/>
      <c r="I40" s="48"/>
      <c r="J40" s="53"/>
    </row>
    <row r="41" spans="1:10" ht="12.75">
      <c r="A41" s="126"/>
      <c r="B41" s="53"/>
      <c r="C41" s="53"/>
      <c r="D41" s="53"/>
      <c r="E41" s="53"/>
      <c r="F41" s="53"/>
      <c r="G41" s="53"/>
      <c r="H41" s="53"/>
      <c r="I41" s="53"/>
      <c r="J41" s="53"/>
    </row>
    <row r="42" spans="1:10" ht="12.75">
      <c r="A42" s="126"/>
      <c r="B42" s="127"/>
      <c r="C42" s="57"/>
      <c r="D42" s="56"/>
      <c r="E42" s="57"/>
      <c r="F42" s="58"/>
      <c r="G42" s="55"/>
      <c r="H42" s="55"/>
      <c r="I42" s="57"/>
      <c r="J42" s="53"/>
    </row>
    <row r="43" spans="1:10" ht="12.75">
      <c r="A43" s="126"/>
      <c r="B43" s="127"/>
      <c r="C43" s="57"/>
      <c r="D43" s="56"/>
      <c r="E43" s="57"/>
      <c r="F43" s="58"/>
      <c r="G43" s="55"/>
      <c r="H43" s="55"/>
      <c r="I43" s="57"/>
      <c r="J43" s="53"/>
    </row>
    <row r="44" spans="1:10" ht="12.75">
      <c r="A44" s="126"/>
      <c r="B44" s="128"/>
      <c r="C44" s="57"/>
      <c r="D44" s="56"/>
      <c r="E44" s="57"/>
      <c r="F44" s="58"/>
      <c r="G44" s="55"/>
      <c r="H44" s="55"/>
      <c r="I44" s="57"/>
      <c r="J44" s="53"/>
    </row>
    <row r="45" spans="1:10" ht="12.75">
      <c r="A45" s="126"/>
      <c r="B45" s="127"/>
      <c r="C45" s="57"/>
      <c r="D45" s="56"/>
      <c r="E45" s="57"/>
      <c r="F45" s="58"/>
      <c r="G45" s="55"/>
      <c r="H45" s="55"/>
      <c r="I45" s="57"/>
      <c r="J45" s="53"/>
    </row>
    <row r="46" spans="1:10" ht="12.75">
      <c r="A46" s="126"/>
      <c r="B46" s="128"/>
      <c r="C46" s="57"/>
      <c r="D46" s="56"/>
      <c r="E46" s="57"/>
      <c r="F46" s="58"/>
      <c r="G46" s="55"/>
      <c r="H46" s="55"/>
      <c r="I46" s="57"/>
      <c r="J46" s="53"/>
    </row>
    <row r="47" spans="1:10" s="47" customFormat="1" ht="12.75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s="47" customFormat="1" ht="12.75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="47" customFormat="1" ht="12.75"/>
    <row r="52" ht="12.75">
      <c r="A52" s="18"/>
    </row>
    <row r="54" ht="12.75">
      <c r="A54" s="3"/>
    </row>
    <row r="55" ht="12.75">
      <c r="A55" s="3"/>
    </row>
  </sheetData>
  <printOptions horizontalCentered="1"/>
  <pageMargins left="0.58" right="0.32" top="0.78" bottom="0.59" header="0.5" footer="0.5"/>
  <pageSetup fitToHeight="1" fitToWidth="1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C3" sqref="C3"/>
    </sheetView>
  </sheetViews>
  <sheetFormatPr defaultColWidth="9.140625" defaultRowHeight="12.75"/>
  <cols>
    <col min="1" max="1" width="36.140625" style="3" customWidth="1"/>
    <col min="2" max="2" width="15.00390625" style="3" customWidth="1"/>
    <col min="3" max="3" width="15.7109375" style="76" bestFit="1" customWidth="1"/>
    <col min="4" max="4" width="14.57421875" style="3" customWidth="1"/>
    <col min="5" max="5" width="14.7109375" style="76" customWidth="1"/>
    <col min="6" max="6" width="5.8515625" style="3" customWidth="1"/>
    <col min="7" max="7" width="9.28125" style="3" customWidth="1"/>
    <col min="8" max="16384" width="9.140625" style="3" customWidth="1"/>
  </cols>
  <sheetData>
    <row r="1" ht="12.75">
      <c r="A1" s="2" t="str">
        <f>Summary!A1</f>
        <v>MITHRIL BERHAD</v>
      </c>
    </row>
    <row r="2" ht="12.75">
      <c r="A2" s="42" t="s">
        <v>1</v>
      </c>
    </row>
    <row r="4" ht="12.75">
      <c r="A4" s="2" t="s">
        <v>25</v>
      </c>
    </row>
    <row r="5" ht="12.75">
      <c r="A5" s="2" t="s">
        <v>137</v>
      </c>
    </row>
    <row r="6" ht="12.75">
      <c r="A6" s="4"/>
    </row>
    <row r="7" spans="2:5" ht="12.75">
      <c r="B7" s="5" t="s">
        <v>26</v>
      </c>
      <c r="C7" s="77"/>
      <c r="D7" s="6"/>
      <c r="E7" s="86"/>
    </row>
    <row r="8" spans="2:5" ht="12.75">
      <c r="B8" s="7">
        <v>2005</v>
      </c>
      <c r="C8" s="85" t="s">
        <v>146</v>
      </c>
      <c r="D8" s="7">
        <f>B8</f>
        <v>2005</v>
      </c>
      <c r="E8" s="78" t="str">
        <f>C8</f>
        <v>2004</v>
      </c>
    </row>
    <row r="9" spans="2:5" ht="12.75">
      <c r="B9" s="8" t="s">
        <v>27</v>
      </c>
      <c r="C9" s="79" t="s">
        <v>28</v>
      </c>
      <c r="D9" s="8" t="s">
        <v>139</v>
      </c>
      <c r="E9" s="79" t="s">
        <v>161</v>
      </c>
    </row>
    <row r="10" spans="2:5" ht="12.75">
      <c r="B10" s="8" t="s">
        <v>29</v>
      </c>
      <c r="C10" s="79" t="s">
        <v>29</v>
      </c>
      <c r="D10" s="8" t="s">
        <v>30</v>
      </c>
      <c r="E10" s="79" t="s">
        <v>30</v>
      </c>
    </row>
    <row r="11" spans="2:5" ht="12.75">
      <c r="B11" s="9" t="s">
        <v>138</v>
      </c>
      <c r="C11" s="80" t="str">
        <f>B11</f>
        <v>31ST MARCH</v>
      </c>
      <c r="D11" s="9" t="s">
        <v>31</v>
      </c>
      <c r="E11" s="80" t="s">
        <v>31</v>
      </c>
    </row>
    <row r="12" spans="2:5" ht="13.5" thickBot="1">
      <c r="B12" s="10"/>
      <c r="C12" s="81"/>
      <c r="D12" s="10"/>
      <c r="E12" s="81"/>
    </row>
    <row r="13" spans="2:5" ht="12.75">
      <c r="B13" s="8"/>
      <c r="C13" s="79"/>
      <c r="D13" s="8"/>
      <c r="E13" s="79"/>
    </row>
    <row r="14" spans="2:5" ht="12.75">
      <c r="B14" s="8" t="s">
        <v>32</v>
      </c>
      <c r="C14" s="79" t="s">
        <v>32</v>
      </c>
      <c r="D14" s="8" t="s">
        <v>32</v>
      </c>
      <c r="E14" s="79" t="s">
        <v>32</v>
      </c>
    </row>
    <row r="15" spans="2:5" ht="12.75">
      <c r="B15" s="8"/>
      <c r="C15" s="79"/>
      <c r="D15" s="8"/>
      <c r="E15" s="79"/>
    </row>
    <row r="16" spans="1:5" ht="12.75">
      <c r="A16" s="3" t="s">
        <v>33</v>
      </c>
      <c r="B16" s="3">
        <v>10799421</v>
      </c>
      <c r="C16" s="76">
        <v>1755719</v>
      </c>
      <c r="D16" s="3">
        <f>25831173+B16</f>
        <v>36630594</v>
      </c>
      <c r="E16" s="76">
        <v>1901994</v>
      </c>
    </row>
    <row r="18" spans="1:5" ht="12.75">
      <c r="A18" s="3" t="s">
        <v>34</v>
      </c>
      <c r="B18" s="3">
        <f>-11420482+237000+866000</f>
        <v>-10317482</v>
      </c>
      <c r="C18" s="76">
        <v>-3882700</v>
      </c>
      <c r="D18" s="3">
        <f>-25867746+B18</f>
        <v>-36185228</v>
      </c>
      <c r="E18" s="76">
        <v>-215994529</v>
      </c>
    </row>
    <row r="20" spans="1:5" ht="12.75">
      <c r="A20" s="3" t="s">
        <v>35</v>
      </c>
      <c r="B20" s="3">
        <v>51149</v>
      </c>
      <c r="C20" s="76">
        <v>38761180</v>
      </c>
      <c r="D20" s="3">
        <f>65035+B20</f>
        <v>116184</v>
      </c>
      <c r="E20" s="76">
        <v>38765731</v>
      </c>
    </row>
    <row r="21" spans="2:5" ht="12.75">
      <c r="B21" s="11"/>
      <c r="C21" s="82"/>
      <c r="D21" s="11"/>
      <c r="E21" s="82"/>
    </row>
    <row r="23" spans="1:5" ht="12.75">
      <c r="A23" s="3" t="s">
        <v>126</v>
      </c>
      <c r="B23" s="3">
        <f>SUM(B16:B20)</f>
        <v>533088</v>
      </c>
      <c r="C23" s="76">
        <f>SUM(C16:C20)</f>
        <v>36634199</v>
      </c>
      <c r="D23" s="3">
        <f>SUM(D16:D20)</f>
        <v>561550</v>
      </c>
      <c r="E23" s="76">
        <f>SUM(E16:E20)</f>
        <v>-175326804</v>
      </c>
    </row>
    <row r="25" spans="1:5" ht="12.75">
      <c r="A25" s="3" t="s">
        <v>36</v>
      </c>
      <c r="B25" s="3">
        <f>-2143092</f>
        <v>-2143092</v>
      </c>
      <c r="C25" s="76">
        <v>-480230</v>
      </c>
      <c r="D25" s="3">
        <f>-4019211+B25</f>
        <v>-6162303</v>
      </c>
      <c r="E25" s="76">
        <v>-760585</v>
      </c>
    </row>
    <row r="27" spans="1:5" ht="12.75">
      <c r="A27" s="3" t="s">
        <v>37</v>
      </c>
      <c r="B27" s="3">
        <v>0</v>
      </c>
      <c r="C27" s="76">
        <f>E27-0</f>
        <v>0</v>
      </c>
      <c r="D27" s="3">
        <f>0+B27</f>
        <v>0</v>
      </c>
      <c r="E27" s="76">
        <f>G27-0</f>
        <v>0</v>
      </c>
    </row>
    <row r="28" spans="2:5" ht="12.75">
      <c r="B28" s="11"/>
      <c r="C28" s="82"/>
      <c r="D28" s="11"/>
      <c r="E28" s="82"/>
    </row>
    <row r="30" spans="1:5" ht="12.75">
      <c r="A30" s="3" t="s">
        <v>130</v>
      </c>
      <c r="B30" s="3">
        <f>SUM(B23:B27)</f>
        <v>-1610004</v>
      </c>
      <c r="C30" s="76">
        <f>SUM(C23:C27)</f>
        <v>36153969</v>
      </c>
      <c r="D30" s="3">
        <f>SUM(D23:D27)</f>
        <v>-5600753</v>
      </c>
      <c r="E30" s="76">
        <f>SUM(E23:E27)</f>
        <v>-176087389</v>
      </c>
    </row>
    <row r="32" spans="1:5" ht="12.75">
      <c r="A32" s="3" t="s">
        <v>38</v>
      </c>
      <c r="B32" s="3">
        <v>-31670</v>
      </c>
      <c r="C32" s="76">
        <v>0</v>
      </c>
      <c r="D32" s="3">
        <f>-668743+B32</f>
        <v>-700413</v>
      </c>
      <c r="E32" s="76">
        <v>569</v>
      </c>
    </row>
    <row r="33" spans="2:5" ht="12.75">
      <c r="B33" s="11"/>
      <c r="C33" s="82"/>
      <c r="D33" s="11"/>
      <c r="E33" s="82"/>
    </row>
    <row r="35" spans="1:5" ht="12.75">
      <c r="A35" s="3" t="s">
        <v>131</v>
      </c>
      <c r="B35" s="3">
        <f>SUM(B30:B32)</f>
        <v>-1641674</v>
      </c>
      <c r="C35" s="76">
        <f>SUM(C30:C32)</f>
        <v>36153969</v>
      </c>
      <c r="D35" s="3">
        <f>SUM(D30:D32)</f>
        <v>-6301166</v>
      </c>
      <c r="E35" s="76">
        <f>SUM(E30:E32)</f>
        <v>-176086820</v>
      </c>
    </row>
    <row r="37" spans="1:5" ht="12.75">
      <c r="A37" s="3" t="s">
        <v>119</v>
      </c>
      <c r="B37" s="3">
        <v>0</v>
      </c>
      <c r="C37" s="76">
        <f>E37-0</f>
        <v>0</v>
      </c>
      <c r="D37" s="3">
        <v>0</v>
      </c>
      <c r="E37" s="76">
        <f>G37-0</f>
        <v>0</v>
      </c>
    </row>
    <row r="38" spans="2:5" ht="12.75">
      <c r="B38" s="11"/>
      <c r="C38" s="82"/>
      <c r="D38" s="11"/>
      <c r="E38" s="82"/>
    </row>
    <row r="40" spans="1:5" ht="13.5" thickBot="1">
      <c r="A40" s="3" t="s">
        <v>127</v>
      </c>
      <c r="B40" s="12">
        <f>SUM(B35:B37)</f>
        <v>-1641674</v>
      </c>
      <c r="C40" s="83">
        <f>SUM(C35:C37)</f>
        <v>36153969</v>
      </c>
      <c r="D40" s="12">
        <f>SUM(D35:D37)</f>
        <v>-6301166</v>
      </c>
      <c r="E40" s="83">
        <f>SUM(E35:E37)</f>
        <v>-176086820</v>
      </c>
    </row>
    <row r="41" spans="2:5" ht="13.5" thickTop="1">
      <c r="B41" s="13"/>
      <c r="C41" s="84"/>
      <c r="D41" s="13"/>
      <c r="E41" s="84"/>
    </row>
    <row r="43" spans="1:5" ht="12.75">
      <c r="A43" s="3" t="s">
        <v>128</v>
      </c>
      <c r="B43" s="14">
        <f>B40/Consol_BS!B36*100</f>
        <v>-1.9737117437612461</v>
      </c>
      <c r="C43" s="117">
        <f>C40/13266869*100</f>
        <v>272.5131981027324</v>
      </c>
      <c r="D43" s="15">
        <f>D40/Consol_BS!B36*100</f>
        <v>-7.575612048183182</v>
      </c>
      <c r="E43" s="118">
        <f>E40/6573575*100</f>
        <v>-2678.707096214769</v>
      </c>
    </row>
    <row r="44" spans="1:5" ht="12.75">
      <c r="A44" s="3" t="s">
        <v>129</v>
      </c>
      <c r="B44" s="75">
        <f>B43</f>
        <v>-1.9737117437612461</v>
      </c>
      <c r="C44" s="74">
        <f>C43</f>
        <v>272.5131981027324</v>
      </c>
      <c r="D44" s="74">
        <f>D43</f>
        <v>-7.575612048183182</v>
      </c>
      <c r="E44" s="119">
        <f>E43</f>
        <v>-2678.707096214769</v>
      </c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>
      <c r="A52" s="100" t="s">
        <v>183</v>
      </c>
    </row>
    <row r="53" ht="13.5" customHeight="1">
      <c r="A53" s="3" t="s">
        <v>184</v>
      </c>
    </row>
    <row r="54" ht="13.5" customHeight="1">
      <c r="A54" s="3" t="s">
        <v>185</v>
      </c>
    </row>
    <row r="55" spans="1:7" ht="12.75">
      <c r="A55" s="17"/>
      <c r="B55" s="17"/>
      <c r="D55" s="17"/>
      <c r="F55" s="17"/>
      <c r="G55" s="17"/>
    </row>
    <row r="56" spans="1:7" ht="12.75">
      <c r="A56" s="18"/>
      <c r="B56" s="17"/>
      <c r="D56" s="17"/>
      <c r="F56" s="17"/>
      <c r="G56" s="17"/>
    </row>
    <row r="57" spans="1:7" ht="12.75">
      <c r="A57" s="17" t="s">
        <v>147</v>
      </c>
      <c r="B57" s="17"/>
      <c r="D57" s="17"/>
      <c r="F57" s="17"/>
      <c r="G57" s="17"/>
    </row>
    <row r="58" ht="12.75">
      <c r="A58" s="3" t="s">
        <v>148</v>
      </c>
    </row>
  </sheetData>
  <printOptions horizontalCentered="1"/>
  <pageMargins left="0.61" right="0.36" top="0.65" bottom="0.65" header="0.5" footer="0.5"/>
  <pageSetup fitToHeight="1" fitToWidth="1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workbookViewId="0" topLeftCell="A1">
      <selection activeCell="D3" sqref="D3"/>
    </sheetView>
  </sheetViews>
  <sheetFormatPr defaultColWidth="9.140625" defaultRowHeight="12.75"/>
  <cols>
    <col min="1" max="1" width="42.57421875" style="3" customWidth="1"/>
    <col min="2" max="2" width="20.421875" style="8" customWidth="1"/>
    <col min="3" max="3" width="1.7109375" style="8" customWidth="1"/>
    <col min="4" max="4" width="18.421875" style="8" customWidth="1"/>
    <col min="5" max="5" width="2.7109375" style="3" bestFit="1" customWidth="1"/>
    <col min="6" max="12" width="9.7109375" style="3" customWidth="1"/>
    <col min="13" max="16384" width="9.140625" style="3" customWidth="1"/>
  </cols>
  <sheetData>
    <row r="1" ht="12.75">
      <c r="A1" s="2" t="str">
        <f>Summary!A1</f>
        <v>MITHRIL BERHAD</v>
      </c>
    </row>
    <row r="2" ht="12.75">
      <c r="A2" s="1" t="s">
        <v>1</v>
      </c>
    </row>
    <row r="4" ht="12.75">
      <c r="A4" s="2" t="s">
        <v>39</v>
      </c>
    </row>
    <row r="5" ht="12.75">
      <c r="A5" s="2" t="s">
        <v>140</v>
      </c>
    </row>
    <row r="7" spans="2:4" ht="12.75">
      <c r="B7" s="8" t="s">
        <v>40</v>
      </c>
      <c r="D7" s="8" t="s">
        <v>40</v>
      </c>
    </row>
    <row r="8" spans="2:4" ht="12.75">
      <c r="B8" s="8" t="s">
        <v>141</v>
      </c>
      <c r="D8" s="8" t="s">
        <v>123</v>
      </c>
    </row>
    <row r="9" spans="2:4" ht="12.75">
      <c r="B9" s="8" t="s">
        <v>124</v>
      </c>
      <c r="D9" s="8" t="s">
        <v>125</v>
      </c>
    </row>
    <row r="10" spans="2:4" s="13" customFormat="1" ht="12.75">
      <c r="B10" s="9" t="s">
        <v>32</v>
      </c>
      <c r="C10" s="9"/>
      <c r="D10" s="9" t="s">
        <v>32</v>
      </c>
    </row>
    <row r="11" spans="2:4" ht="12.75">
      <c r="B11" s="19" t="s">
        <v>41</v>
      </c>
      <c r="D11" s="19" t="s">
        <v>41</v>
      </c>
    </row>
    <row r="13" spans="1:4" ht="12.75">
      <c r="A13" s="3" t="s">
        <v>42</v>
      </c>
      <c r="B13" s="8">
        <v>51272113</v>
      </c>
      <c r="D13" s="8">
        <v>52607195</v>
      </c>
    </row>
    <row r="14" spans="1:4" ht="12.75">
      <c r="A14" s="3" t="s">
        <v>118</v>
      </c>
      <c r="B14" s="8">
        <f>86944000+250000</f>
        <v>87194000</v>
      </c>
      <c r="D14" s="8">
        <v>87194000</v>
      </c>
    </row>
    <row r="15" spans="1:4" ht="12.75">
      <c r="A15" s="3" t="s">
        <v>43</v>
      </c>
      <c r="B15" s="8">
        <v>7178</v>
      </c>
      <c r="D15" s="8">
        <v>7178</v>
      </c>
    </row>
    <row r="16" spans="1:4" ht="12.75">
      <c r="A16" s="3" t="s">
        <v>105</v>
      </c>
      <c r="B16" s="16">
        <f>25374027</f>
        <v>25374027</v>
      </c>
      <c r="D16" s="16">
        <v>26375633</v>
      </c>
    </row>
    <row r="17" spans="2:4" ht="12.75">
      <c r="B17" s="8">
        <f>SUM(B13:B16)</f>
        <v>163847318</v>
      </c>
      <c r="D17" s="8">
        <f>SUM(D13:D16)</f>
        <v>166184006</v>
      </c>
    </row>
    <row r="19" ht="12.75">
      <c r="A19" s="2" t="s">
        <v>44</v>
      </c>
    </row>
    <row r="20" spans="1:4" ht="12.75">
      <c r="A20" s="3" t="s">
        <v>45</v>
      </c>
      <c r="B20" s="8">
        <f>19072650</f>
        <v>19072650</v>
      </c>
      <c r="D20" s="8">
        <v>15499565</v>
      </c>
    </row>
    <row r="21" spans="1:4" ht="12.75">
      <c r="A21" s="3" t="s">
        <v>46</v>
      </c>
      <c r="B21" s="8">
        <f>5604868+1850099+237000+866000</f>
        <v>8557967</v>
      </c>
      <c r="D21" s="8">
        <f>5923893+2847680</f>
        <v>8771573</v>
      </c>
    </row>
    <row r="22" spans="1:4" ht="12.75">
      <c r="A22" s="3" t="s">
        <v>47</v>
      </c>
      <c r="B22" s="16">
        <v>10309172</v>
      </c>
      <c r="D22" s="16">
        <v>8307823</v>
      </c>
    </row>
    <row r="23" spans="2:4" ht="12.75">
      <c r="B23" s="20">
        <f>SUM(B20:B22)</f>
        <v>37939789</v>
      </c>
      <c r="D23" s="20">
        <f>SUM(D20:D22)</f>
        <v>32578961</v>
      </c>
    </row>
    <row r="25" ht="12.75">
      <c r="A25" s="2" t="s">
        <v>48</v>
      </c>
    </row>
    <row r="26" spans="1:4" ht="12.75">
      <c r="A26" s="3" t="s">
        <v>49</v>
      </c>
      <c r="B26" s="8">
        <f>12838836+27670953+2500000-6381000</f>
        <v>36628789</v>
      </c>
      <c r="D26" s="8">
        <f>7211335+13369591+4725034+2500000</f>
        <v>27805960</v>
      </c>
    </row>
    <row r="27" spans="1:4" ht="12.75">
      <c r="A27" s="3" t="s">
        <v>50</v>
      </c>
      <c r="B27" s="8">
        <f>1534077+1363171+6381000</f>
        <v>9278248</v>
      </c>
      <c r="D27" s="8">
        <f>13403497-4725034</f>
        <v>8678463</v>
      </c>
    </row>
    <row r="28" spans="1:4" ht="12.75">
      <c r="A28" s="3" t="s">
        <v>51</v>
      </c>
      <c r="B28" s="8">
        <v>2750806</v>
      </c>
      <c r="D28" s="8">
        <v>2986727</v>
      </c>
    </row>
    <row r="29" spans="2:4" ht="12.75">
      <c r="B29" s="20">
        <f>SUM(B26:B28)</f>
        <v>48657843</v>
      </c>
      <c r="D29" s="20">
        <f>SUM(D26:D28)</f>
        <v>39471150</v>
      </c>
    </row>
    <row r="31" spans="1:4" ht="12.75">
      <c r="A31" s="2" t="s">
        <v>52</v>
      </c>
      <c r="B31" s="8">
        <f>B23-B29</f>
        <v>-10718054</v>
      </c>
      <c r="D31" s="8">
        <f>D23-D29</f>
        <v>-6892189</v>
      </c>
    </row>
    <row r="33" spans="1:4" ht="13.5" thickBot="1">
      <c r="A33" s="2"/>
      <c r="B33" s="21">
        <f>B17+B31</f>
        <v>153129264</v>
      </c>
      <c r="D33" s="21">
        <f>D17+D31</f>
        <v>159291817</v>
      </c>
    </row>
    <row r="34" ht="13.5" thickTop="1"/>
    <row r="36" spans="1:4" ht="12.75">
      <c r="A36" s="3" t="s">
        <v>53</v>
      </c>
      <c r="B36" s="8">
        <f>83176989</f>
        <v>83176989</v>
      </c>
      <c r="D36" s="8">
        <f>83176989</f>
        <v>83176989</v>
      </c>
    </row>
    <row r="37" spans="1:4" ht="12.75">
      <c r="A37" s="3" t="s">
        <v>54</v>
      </c>
      <c r="B37" s="8">
        <v>11181147</v>
      </c>
      <c r="D37" s="8">
        <v>11181147</v>
      </c>
    </row>
    <row r="38" spans="1:4" ht="12.75">
      <c r="A38" s="3" t="s">
        <v>55</v>
      </c>
      <c r="B38" s="8">
        <v>4572452</v>
      </c>
      <c r="D38" s="8">
        <v>4572452</v>
      </c>
    </row>
    <row r="39" spans="1:4" ht="12.75">
      <c r="A39" s="3" t="s">
        <v>106</v>
      </c>
      <c r="B39" s="8">
        <v>46740208</v>
      </c>
      <c r="D39" s="8">
        <v>46740208</v>
      </c>
    </row>
    <row r="40" spans="1:4" ht="12.75">
      <c r="A40" s="3" t="s">
        <v>107</v>
      </c>
      <c r="B40" s="8">
        <v>12205861</v>
      </c>
      <c r="D40" s="8">
        <v>12205861</v>
      </c>
    </row>
    <row r="41" spans="1:5" ht="12.75">
      <c r="A41" s="3" t="s">
        <v>56</v>
      </c>
      <c r="B41" s="16">
        <f>Consol_EQ!E14+80339088+Consol_PL!D40</f>
        <v>-99686564</v>
      </c>
      <c r="D41" s="16">
        <f>80339088+Consol_EQ!E14</f>
        <v>-93385398</v>
      </c>
      <c r="E41" s="3">
        <f>D41-B41+Consol_PL!D40</f>
        <v>0</v>
      </c>
    </row>
    <row r="42" spans="1:4" ht="12.75">
      <c r="A42" s="3" t="s">
        <v>113</v>
      </c>
      <c r="B42" s="8">
        <f>SUM(B36:B41)</f>
        <v>58190093</v>
      </c>
      <c r="D42" s="8">
        <f>SUM(D36:D41)</f>
        <v>64491259</v>
      </c>
    </row>
    <row r="44" ht="12.75">
      <c r="A44" s="2" t="s">
        <v>57</v>
      </c>
    </row>
    <row r="45" spans="1:4" ht="12.75">
      <c r="A45" s="3" t="s">
        <v>58</v>
      </c>
      <c r="B45" s="8">
        <f>11195954+572487</f>
        <v>11768441</v>
      </c>
      <c r="D45" s="8">
        <f>551912+10595309</f>
        <v>11147221</v>
      </c>
    </row>
    <row r="46" spans="1:4" ht="12.75">
      <c r="A46" s="3" t="s">
        <v>108</v>
      </c>
      <c r="B46" s="8">
        <f>1775783</f>
        <v>1775783</v>
      </c>
      <c r="D46" s="8">
        <v>2047713</v>
      </c>
    </row>
    <row r="47" spans="1:4" ht="12.75">
      <c r="A47" s="3" t="s">
        <v>109</v>
      </c>
      <c r="B47" s="8">
        <v>19186633</v>
      </c>
      <c r="D47" s="8">
        <v>18291708</v>
      </c>
    </row>
    <row r="48" spans="1:4" ht="12.75">
      <c r="A48" s="3" t="s">
        <v>110</v>
      </c>
      <c r="B48" s="8">
        <f>16201399</f>
        <v>16201399</v>
      </c>
      <c r="D48" s="8">
        <v>18682345</v>
      </c>
    </row>
    <row r="49" spans="1:4" ht="12.75">
      <c r="A49" s="3" t="s">
        <v>111</v>
      </c>
      <c r="B49" s="8">
        <f>43584441</f>
        <v>43584441</v>
      </c>
      <c r="D49" s="8">
        <v>42388006</v>
      </c>
    </row>
    <row r="50" spans="1:4" ht="12.75">
      <c r="A50" s="3" t="s">
        <v>112</v>
      </c>
      <c r="B50" s="8">
        <f>2422474</f>
        <v>2422474</v>
      </c>
      <c r="D50" s="8">
        <v>2243565</v>
      </c>
    </row>
    <row r="51" spans="2:4" ht="13.5" thickBot="1">
      <c r="B51" s="21">
        <f>SUM(B42:B50)</f>
        <v>153129264</v>
      </c>
      <c r="D51" s="21">
        <f>SUM(D42:D50)</f>
        <v>159291817</v>
      </c>
    </row>
    <row r="52" spans="2:4" ht="13.5" thickTop="1">
      <c r="B52" s="8">
        <f>B33-B51</f>
        <v>0</v>
      </c>
      <c r="D52" s="8">
        <f>D33-D51</f>
        <v>0</v>
      </c>
    </row>
    <row r="55" ht="12.75">
      <c r="A55" s="18"/>
    </row>
    <row r="58" ht="12.75">
      <c r="A58" s="17" t="s">
        <v>149</v>
      </c>
    </row>
    <row r="59" ht="12.75">
      <c r="A59" s="3" t="s">
        <v>150</v>
      </c>
    </row>
  </sheetData>
  <printOptions/>
  <pageMargins left="0.68" right="0.39" top="0.67" bottom="0.49" header="0.5" footer="0.39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 topLeftCell="A1">
      <selection activeCell="D1" sqref="D1"/>
    </sheetView>
  </sheetViews>
  <sheetFormatPr defaultColWidth="9.140625" defaultRowHeight="12.75"/>
  <cols>
    <col min="1" max="1" width="3.28125" style="3" customWidth="1"/>
    <col min="2" max="2" width="3.57421875" style="3" customWidth="1"/>
    <col min="3" max="3" width="54.8515625" style="3" customWidth="1"/>
    <col min="4" max="4" width="15.57421875" style="8" bestFit="1" customWidth="1"/>
    <col min="5" max="5" width="2.7109375" style="8" bestFit="1" customWidth="1"/>
    <col min="6" max="6" width="15.57421875" style="3" bestFit="1" customWidth="1"/>
    <col min="7" max="7" width="2.7109375" style="3" bestFit="1" customWidth="1"/>
    <col min="8" max="16384" width="9.140625" style="3" customWidth="1"/>
  </cols>
  <sheetData>
    <row r="1" spans="1:3" ht="12.75">
      <c r="A1" s="2" t="str">
        <f>Summary!A1</f>
        <v>MITHRIL BERHAD</v>
      </c>
      <c r="B1" s="2"/>
      <c r="C1" s="2"/>
    </row>
    <row r="2" spans="1:3" ht="12.75">
      <c r="A2" s="1" t="s">
        <v>1</v>
      </c>
      <c r="B2" s="2"/>
      <c r="C2" s="2"/>
    </row>
    <row r="3" ht="7.5" customHeight="1"/>
    <row r="4" spans="1:3" ht="12.75">
      <c r="A4" s="2" t="s">
        <v>59</v>
      </c>
      <c r="B4" s="2"/>
      <c r="C4" s="2"/>
    </row>
    <row r="5" spans="1:3" ht="12.75">
      <c r="A5" s="2" t="s">
        <v>143</v>
      </c>
      <c r="B5" s="2"/>
      <c r="C5" s="2"/>
    </row>
    <row r="6" spans="4:6" ht="12.75">
      <c r="D6" s="8" t="s">
        <v>142</v>
      </c>
      <c r="F6" s="8" t="s">
        <v>162</v>
      </c>
    </row>
    <row r="7" spans="4:6" ht="12.75">
      <c r="D7" s="8" t="str">
        <f>Consol_BS!B8</f>
        <v>31st Mar 2005</v>
      </c>
      <c r="F7" s="8" t="s">
        <v>163</v>
      </c>
    </row>
    <row r="8" spans="4:6" ht="15">
      <c r="D8" s="34" t="s">
        <v>32</v>
      </c>
      <c r="F8" s="34" t="s">
        <v>32</v>
      </c>
    </row>
    <row r="9" spans="1:3" ht="12.75">
      <c r="A9" s="2" t="s">
        <v>60</v>
      </c>
      <c r="B9" s="2"/>
      <c r="C9" s="2"/>
    </row>
    <row r="10" ht="6.75" customHeight="1"/>
    <row r="11" spans="2:6" s="13" customFormat="1" ht="12.75">
      <c r="B11" s="13" t="s">
        <v>61</v>
      </c>
      <c r="D11" s="9">
        <f>Consol_PL!D30+Consol_PL!D37</f>
        <v>-5600753</v>
      </c>
      <c r="E11" s="9"/>
      <c r="F11" s="13">
        <f>Consol_PL!E30</f>
        <v>-176087389</v>
      </c>
    </row>
    <row r="12" spans="4:5" s="13" customFormat="1" ht="6.75" customHeight="1">
      <c r="D12" s="9"/>
      <c r="E12" s="9"/>
    </row>
    <row r="13" spans="2:5" s="13" customFormat="1" ht="12.75">
      <c r="B13" s="13" t="s">
        <v>62</v>
      </c>
      <c r="D13" s="9"/>
      <c r="E13" s="9"/>
    </row>
    <row r="14" spans="3:6" s="13" customFormat="1" ht="12.75">
      <c r="C14" s="13" t="s">
        <v>63</v>
      </c>
      <c r="D14" s="9">
        <v>2807559</v>
      </c>
      <c r="E14" s="9"/>
      <c r="F14" s="13">
        <v>461601</v>
      </c>
    </row>
    <row r="15" spans="3:6" s="13" customFormat="1" ht="12.75">
      <c r="C15" s="13" t="s">
        <v>64</v>
      </c>
      <c r="D15" s="9">
        <v>6263753</v>
      </c>
      <c r="E15" s="9"/>
      <c r="F15" s="13">
        <v>762366</v>
      </c>
    </row>
    <row r="16" spans="3:7" s="13" customFormat="1" ht="12.75">
      <c r="C16" s="13" t="s">
        <v>65</v>
      </c>
      <c r="D16" s="9">
        <f>-101450</f>
        <v>-101450</v>
      </c>
      <c r="E16" s="13">
        <f>D15+D16+Consol_PL!D25</f>
        <v>0</v>
      </c>
      <c r="F16" s="13">
        <v>-1781</v>
      </c>
      <c r="G16" s="13">
        <f>F15+F16+Consol_PL!E25</f>
        <v>0</v>
      </c>
    </row>
    <row r="17" spans="3:6" s="13" customFormat="1" ht="12.75">
      <c r="C17" s="13" t="s">
        <v>165</v>
      </c>
      <c r="D17" s="9">
        <v>0</v>
      </c>
      <c r="F17" s="13">
        <v>-38737233</v>
      </c>
    </row>
    <row r="18" spans="3:6" s="13" customFormat="1" ht="12.75">
      <c r="C18" s="13" t="s">
        <v>164</v>
      </c>
      <c r="D18" s="16">
        <v>1001606</v>
      </c>
      <c r="E18" s="9"/>
      <c r="F18" s="11">
        <v>211762298</v>
      </c>
    </row>
    <row r="19" spans="4:5" s="13" customFormat="1" ht="7.5" customHeight="1">
      <c r="D19" s="9"/>
      <c r="E19" s="9"/>
    </row>
    <row r="20" spans="2:6" s="13" customFormat="1" ht="12.75">
      <c r="B20" s="13" t="s">
        <v>181</v>
      </c>
      <c r="D20" s="9">
        <f>SUM(D11:D18)</f>
        <v>4370715</v>
      </c>
      <c r="E20" s="9"/>
      <c r="F20" s="9">
        <f>SUM(F11:F18)</f>
        <v>-1840138</v>
      </c>
    </row>
    <row r="21" spans="4:5" s="13" customFormat="1" ht="7.5" customHeight="1">
      <c r="D21" s="9"/>
      <c r="E21" s="9"/>
    </row>
    <row r="22" spans="2:5" s="13" customFormat="1" ht="12.75">
      <c r="B22" s="13" t="s">
        <v>66</v>
      </c>
      <c r="D22" s="9"/>
      <c r="E22" s="9"/>
    </row>
    <row r="23" spans="3:6" s="13" customFormat="1" ht="12.75">
      <c r="C23" s="13" t="s">
        <v>67</v>
      </c>
      <c r="D23" s="9">
        <f>-3573085</f>
        <v>-3573085</v>
      </c>
      <c r="E23" s="9"/>
      <c r="F23" s="13">
        <v>-60157</v>
      </c>
    </row>
    <row r="24" spans="3:6" s="13" customFormat="1" ht="12.75">
      <c r="C24" s="13" t="s">
        <v>186</v>
      </c>
      <c r="D24" s="9">
        <v>-481056</v>
      </c>
      <c r="E24" s="9"/>
      <c r="F24" s="13">
        <v>-30320299</v>
      </c>
    </row>
    <row r="25" spans="3:6" s="13" customFormat="1" ht="12.75">
      <c r="C25" s="13" t="s">
        <v>122</v>
      </c>
      <c r="D25" s="9">
        <v>2032618</v>
      </c>
      <c r="E25" s="9"/>
      <c r="F25" s="11">
        <v>76310660</v>
      </c>
    </row>
    <row r="26" spans="3:6" s="13" customFormat="1" ht="12.75">
      <c r="C26" s="13" t="s">
        <v>180</v>
      </c>
      <c r="D26" s="22">
        <f>SUM(D20:D25)</f>
        <v>2349192</v>
      </c>
      <c r="E26" s="9"/>
      <c r="F26" s="22">
        <f>SUM(F20:F25)</f>
        <v>44090066</v>
      </c>
    </row>
    <row r="27" spans="4:5" s="13" customFormat="1" ht="6.75" customHeight="1">
      <c r="D27" s="9"/>
      <c r="E27" s="9"/>
    </row>
    <row r="28" spans="3:6" s="13" customFormat="1" ht="12.75">
      <c r="C28" s="13" t="s">
        <v>68</v>
      </c>
      <c r="D28" s="9">
        <v>-757425</v>
      </c>
      <c r="E28" s="9"/>
      <c r="F28" s="13">
        <v>-3431</v>
      </c>
    </row>
    <row r="29" spans="4:6" s="13" customFormat="1" ht="7.5" customHeight="1">
      <c r="D29" s="9"/>
      <c r="E29" s="9"/>
      <c r="F29" s="11"/>
    </row>
    <row r="30" spans="2:6" s="13" customFormat="1" ht="12.75">
      <c r="B30" s="13" t="s">
        <v>182</v>
      </c>
      <c r="D30" s="20">
        <f>SUM(D26:D29)</f>
        <v>1591767</v>
      </c>
      <c r="E30" s="9"/>
      <c r="F30" s="20">
        <f>SUM(F26:F29)</f>
        <v>44086635</v>
      </c>
    </row>
    <row r="31" spans="1:5" s="13" customFormat="1" ht="7.5" customHeight="1">
      <c r="A31" s="23"/>
      <c r="B31" s="23"/>
      <c r="C31" s="23"/>
      <c r="D31" s="9"/>
      <c r="E31" s="9"/>
    </row>
    <row r="32" spans="1:5" s="13" customFormat="1" ht="12.75">
      <c r="A32" s="23" t="s">
        <v>69</v>
      </c>
      <c r="B32" s="23"/>
      <c r="C32" s="23"/>
      <c r="D32" s="9"/>
      <c r="E32" s="9"/>
    </row>
    <row r="33" spans="1:5" s="13" customFormat="1" ht="6.75" customHeight="1">
      <c r="A33" s="23"/>
      <c r="B33" s="23"/>
      <c r="C33" s="23"/>
      <c r="D33" s="9"/>
      <c r="E33" s="9"/>
    </row>
    <row r="34" spans="2:6" s="13" customFormat="1" ht="12.75">
      <c r="B34" s="13" t="s">
        <v>70</v>
      </c>
      <c r="D34" s="9">
        <f>-1472477</f>
        <v>-1472477</v>
      </c>
      <c r="E34" s="9"/>
      <c r="F34" s="13">
        <v>-24288</v>
      </c>
    </row>
    <row r="35" spans="2:6" s="13" customFormat="1" ht="12.75">
      <c r="B35" s="13" t="s">
        <v>71</v>
      </c>
      <c r="D35" s="9">
        <f>-D16</f>
        <v>101450</v>
      </c>
      <c r="E35" s="9"/>
      <c r="F35" s="13">
        <f>-F16</f>
        <v>1781</v>
      </c>
    </row>
    <row r="36" spans="2:6" s="13" customFormat="1" ht="12.75">
      <c r="B36" s="13" t="s">
        <v>166</v>
      </c>
      <c r="D36" s="9">
        <v>0</v>
      </c>
      <c r="E36" s="9"/>
      <c r="F36" s="13">
        <v>-57058772</v>
      </c>
    </row>
    <row r="37" spans="2:5" s="13" customFormat="1" ht="7.5" customHeight="1">
      <c r="B37" s="24" t="s">
        <v>72</v>
      </c>
      <c r="C37" s="24"/>
      <c r="D37" s="9"/>
      <c r="E37" s="9"/>
    </row>
    <row r="38" spans="2:6" s="13" customFormat="1" ht="12.75">
      <c r="B38" s="13" t="s">
        <v>73</v>
      </c>
      <c r="D38" s="20">
        <f>SUM(D34:D37)</f>
        <v>-1371027</v>
      </c>
      <c r="E38" s="9"/>
      <c r="F38" s="20">
        <f>SUM(F34:F37)</f>
        <v>-57081279</v>
      </c>
    </row>
    <row r="39" spans="4:5" s="13" customFormat="1" ht="6.75" customHeight="1">
      <c r="D39" s="9"/>
      <c r="E39" s="9"/>
    </row>
    <row r="40" spans="1:5" s="13" customFormat="1" ht="12.75">
      <c r="A40" s="23" t="s">
        <v>74</v>
      </c>
      <c r="B40" s="23"/>
      <c r="C40" s="23"/>
      <c r="D40" s="9"/>
      <c r="E40" s="9"/>
    </row>
    <row r="41" spans="4:5" s="13" customFormat="1" ht="7.5" customHeight="1">
      <c r="D41" s="9"/>
      <c r="E41" s="9"/>
    </row>
    <row r="42" spans="2:6" s="13" customFormat="1" ht="12.75">
      <c r="B42" s="13" t="s">
        <v>114</v>
      </c>
      <c r="D42" s="9">
        <v>2143000</v>
      </c>
      <c r="E42" s="9"/>
      <c r="F42" s="13">
        <v>0</v>
      </c>
    </row>
    <row r="43" spans="2:6" s="13" customFormat="1" ht="12.75">
      <c r="B43" s="13" t="s">
        <v>167</v>
      </c>
      <c r="D43" s="9">
        <v>0</v>
      </c>
      <c r="E43" s="9"/>
      <c r="F43" s="13">
        <v>118390676</v>
      </c>
    </row>
    <row r="44" spans="2:6" s="13" customFormat="1" ht="12.75">
      <c r="B44" s="13" t="s">
        <v>168</v>
      </c>
      <c r="D44" s="9">
        <v>0</v>
      </c>
      <c r="E44" s="9"/>
      <c r="F44" s="13">
        <v>44709067</v>
      </c>
    </row>
    <row r="45" spans="2:6" s="13" customFormat="1" ht="12.75">
      <c r="B45" s="13" t="s">
        <v>169</v>
      </c>
      <c r="D45" s="9">
        <v>0</v>
      </c>
      <c r="E45" s="9"/>
      <c r="F45" s="13">
        <v>30500000</v>
      </c>
    </row>
    <row r="46" spans="2:6" s="13" customFormat="1" ht="12.75">
      <c r="B46" s="13" t="s">
        <v>170</v>
      </c>
      <c r="D46" s="9">
        <v>0</v>
      </c>
      <c r="E46" s="9"/>
      <c r="F46" s="13">
        <v>-175581551</v>
      </c>
    </row>
    <row r="47" spans="2:6" s="13" customFormat="1" ht="12.75">
      <c r="B47" s="13" t="s">
        <v>115</v>
      </c>
      <c r="D47" s="9">
        <v>-226670</v>
      </c>
      <c r="E47" s="9"/>
      <c r="F47" s="13">
        <v>0</v>
      </c>
    </row>
    <row r="48" spans="2:6" s="13" customFormat="1" ht="12.75">
      <c r="B48" s="13" t="s">
        <v>116</v>
      </c>
      <c r="D48" s="9">
        <v>-88488</v>
      </c>
      <c r="E48" s="9"/>
      <c r="F48" s="13">
        <v>0</v>
      </c>
    </row>
    <row r="49" spans="2:6" s="13" customFormat="1" ht="12.75">
      <c r="B49" s="13" t="s">
        <v>117</v>
      </c>
      <c r="D49" s="9">
        <v>-543084</v>
      </c>
      <c r="E49" s="9"/>
      <c r="F49" s="13">
        <v>0</v>
      </c>
    </row>
    <row r="50" spans="4:5" s="13" customFormat="1" ht="7.5" customHeight="1">
      <c r="D50" s="9"/>
      <c r="E50" s="9"/>
    </row>
    <row r="51" spans="2:6" s="13" customFormat="1" ht="12.75">
      <c r="B51" s="13" t="s">
        <v>75</v>
      </c>
      <c r="D51" s="20">
        <f>SUM(D42:D50)</f>
        <v>1284758</v>
      </c>
      <c r="E51" s="9"/>
      <c r="F51" s="20">
        <f>SUM(F42:F50)</f>
        <v>18018192</v>
      </c>
    </row>
    <row r="52" spans="4:5" s="13" customFormat="1" ht="7.5" customHeight="1">
      <c r="D52" s="9"/>
      <c r="E52" s="9"/>
    </row>
    <row r="53" spans="1:6" s="13" customFormat="1" ht="12.75">
      <c r="A53" s="23" t="s">
        <v>76</v>
      </c>
      <c r="B53" s="23"/>
      <c r="C53" s="23"/>
      <c r="D53" s="35">
        <f>D30+D38+D51</f>
        <v>1505498</v>
      </c>
      <c r="E53" s="9"/>
      <c r="F53" s="23">
        <v>5023548</v>
      </c>
    </row>
    <row r="54" spans="1:6" s="13" customFormat="1" ht="12.75">
      <c r="A54" s="23" t="s">
        <v>77</v>
      </c>
      <c r="B54" s="23"/>
      <c r="C54" s="23"/>
      <c r="D54" s="35">
        <f>Consol_BS!D22-867320</f>
        <v>7440503</v>
      </c>
      <c r="E54" s="9"/>
      <c r="F54" s="23">
        <v>2</v>
      </c>
    </row>
    <row r="55" spans="1:6" s="13" customFormat="1" ht="13.5" thickBot="1">
      <c r="A55" s="23" t="s">
        <v>78</v>
      </c>
      <c r="B55" s="23"/>
      <c r="C55" s="23"/>
      <c r="D55" s="36">
        <f>SUM(D53:D54)</f>
        <v>8946001</v>
      </c>
      <c r="E55" s="9"/>
      <c r="F55" s="36">
        <f>SUM(F53:F54)</f>
        <v>5023550</v>
      </c>
    </row>
    <row r="56" spans="1:5" s="13" customFormat="1" ht="13.5" thickTop="1">
      <c r="A56" s="23"/>
      <c r="B56" s="23"/>
      <c r="C56" s="23"/>
      <c r="D56" s="9"/>
      <c r="E56" s="9"/>
    </row>
    <row r="57" spans="1:5" s="13" customFormat="1" ht="12.75" hidden="1">
      <c r="A57" s="25" t="s">
        <v>79</v>
      </c>
      <c r="B57" s="37"/>
      <c r="C57" s="37"/>
      <c r="D57" s="26"/>
      <c r="E57" s="9"/>
    </row>
    <row r="58" spans="1:5" s="13" customFormat="1" ht="12.75" hidden="1">
      <c r="A58" s="27" t="s">
        <v>80</v>
      </c>
      <c r="B58" s="38"/>
      <c r="C58" s="38"/>
      <c r="D58" s="28" t="e">
        <f>#REF!</f>
        <v>#REF!</v>
      </c>
      <c r="E58" s="9"/>
    </row>
    <row r="59" spans="1:5" s="13" customFormat="1" ht="12.75" hidden="1">
      <c r="A59" s="29" t="s">
        <v>81</v>
      </c>
      <c r="B59" s="39"/>
      <c r="C59" s="39"/>
      <c r="D59" s="28" t="e">
        <f>#REF!</f>
        <v>#REF!</v>
      </c>
      <c r="E59" s="9"/>
    </row>
    <row r="60" spans="1:5" s="13" customFormat="1" ht="12.75" hidden="1">
      <c r="A60" s="29" t="s">
        <v>82</v>
      </c>
      <c r="B60" s="39"/>
      <c r="C60" s="39"/>
      <c r="D60" s="28" t="e">
        <f>#REF!</f>
        <v>#REF!</v>
      </c>
      <c r="E60" s="9"/>
    </row>
    <row r="61" spans="1:5" s="13" customFormat="1" ht="13.5" hidden="1" thickBot="1">
      <c r="A61" s="30"/>
      <c r="B61" s="40"/>
      <c r="C61" s="40"/>
      <c r="D61" s="31" t="e">
        <f>SUM(D58:D60)</f>
        <v>#REF!</v>
      </c>
      <c r="E61" s="9"/>
    </row>
    <row r="62" spans="1:5" s="13" customFormat="1" ht="12.75" hidden="1">
      <c r="A62" s="32"/>
      <c r="B62" s="41"/>
      <c r="C62" s="41"/>
      <c r="D62" s="33" t="e">
        <f>D55-D61</f>
        <v>#REF!</v>
      </c>
      <c r="E62" s="9"/>
    </row>
    <row r="63" spans="1:5" s="13" customFormat="1" ht="12.75">
      <c r="A63" s="13" t="s">
        <v>83</v>
      </c>
      <c r="D63" s="9"/>
      <c r="E63" s="9"/>
    </row>
    <row r="64" spans="2:6" s="13" customFormat="1" ht="12.75">
      <c r="B64" s="13" t="s">
        <v>84</v>
      </c>
      <c r="D64" s="9">
        <f>Consol_BS!B22</f>
        <v>10309172</v>
      </c>
      <c r="E64" s="9"/>
      <c r="F64" s="13">
        <v>5023550</v>
      </c>
    </row>
    <row r="65" spans="2:6" ht="12.75">
      <c r="B65" s="3" t="s">
        <v>85</v>
      </c>
      <c r="D65" s="8">
        <f>-1363171</f>
        <v>-1363171</v>
      </c>
      <c r="F65" s="3">
        <v>0</v>
      </c>
    </row>
    <row r="66" spans="4:6" ht="13.5" thickBot="1">
      <c r="D66" s="21">
        <f>SUM(D64:D65)</f>
        <v>8946001</v>
      </c>
      <c r="F66" s="21">
        <f>SUM(F64:F65)</f>
        <v>5023550</v>
      </c>
    </row>
    <row r="67" spans="4:6" ht="13.5" thickTop="1">
      <c r="D67" s="8">
        <f>D55-D66</f>
        <v>0</v>
      </c>
      <c r="F67" s="8">
        <f>F55-F66</f>
        <v>0</v>
      </c>
    </row>
    <row r="68" spans="1:4" ht="12.75">
      <c r="A68" s="100" t="s">
        <v>183</v>
      </c>
      <c r="D68" s="9"/>
    </row>
    <row r="69" spans="1:4" ht="12.75">
      <c r="A69" s="3" t="s">
        <v>184</v>
      </c>
      <c r="D69" s="9"/>
    </row>
    <row r="70" ht="12.75">
      <c r="A70" s="3" t="s">
        <v>185</v>
      </c>
    </row>
    <row r="71" ht="12.75">
      <c r="A71" s="18"/>
    </row>
    <row r="72" ht="12.75">
      <c r="A72" s="17" t="s">
        <v>171</v>
      </c>
    </row>
    <row r="73" ht="12.75">
      <c r="A73" s="3" t="s">
        <v>172</v>
      </c>
    </row>
  </sheetData>
  <printOptions horizontalCentered="1"/>
  <pageMargins left="0.44" right="0.26" top="0.67" bottom="0.35" header="0.44" footer="0.2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E3" sqref="E3"/>
    </sheetView>
  </sheetViews>
  <sheetFormatPr defaultColWidth="9.140625" defaultRowHeight="12.75"/>
  <cols>
    <col min="1" max="1" width="28.00390625" style="3" customWidth="1"/>
    <col min="2" max="3" width="11.28125" style="3" bestFit="1" customWidth="1"/>
    <col min="4" max="4" width="12.421875" style="3" bestFit="1" customWidth="1"/>
    <col min="5" max="5" width="16.140625" style="3" bestFit="1" customWidth="1"/>
    <col min="6" max="6" width="12.8515625" style="3" bestFit="1" customWidth="1"/>
    <col min="7" max="7" width="3.140625" style="3" bestFit="1" customWidth="1"/>
    <col min="8" max="16384" width="9.140625" style="3" customWidth="1"/>
  </cols>
  <sheetData>
    <row r="1" ht="12.75">
      <c r="A1" s="2" t="str">
        <f>Summary!A1</f>
        <v>MITHRIL BERHAD</v>
      </c>
    </row>
    <row r="2" ht="12.75">
      <c r="A2" s="42" t="s">
        <v>1</v>
      </c>
    </row>
    <row r="4" ht="12.75">
      <c r="A4" s="2" t="s">
        <v>86</v>
      </c>
    </row>
    <row r="5" ht="12.75">
      <c r="A5" s="2" t="str">
        <f>Consol_CF!A5</f>
        <v>FOR THE CUMULATIVE QUARTER ENDED 31ST MARCH 2005</v>
      </c>
    </row>
    <row r="7" ht="12.75">
      <c r="A7" s="4"/>
    </row>
    <row r="8" spans="2:6" ht="12.75">
      <c r="B8" s="87"/>
      <c r="C8" s="88" t="s">
        <v>87</v>
      </c>
      <c r="D8" s="89"/>
      <c r="E8" s="90" t="s">
        <v>88</v>
      </c>
      <c r="F8" s="91"/>
    </row>
    <row r="9" spans="2:6" ht="12.75">
      <c r="B9" s="92"/>
      <c r="C9" s="93"/>
      <c r="D9" s="94"/>
      <c r="E9" s="92"/>
      <c r="F9" s="95"/>
    </row>
    <row r="10" spans="1:6" s="8" customFormat="1" ht="12.75">
      <c r="A10" s="96" t="s">
        <v>89</v>
      </c>
      <c r="B10" s="92" t="s">
        <v>90</v>
      </c>
      <c r="C10" s="97" t="s">
        <v>90</v>
      </c>
      <c r="D10" s="98"/>
      <c r="E10" s="92" t="s">
        <v>91</v>
      </c>
      <c r="F10" s="99" t="s">
        <v>92</v>
      </c>
    </row>
    <row r="11" spans="1:6" s="8" customFormat="1" ht="12.75">
      <c r="A11" s="100" t="str">
        <f>Consol_CF!D7</f>
        <v>31st Mar 2005</v>
      </c>
      <c r="B11" s="101" t="s">
        <v>93</v>
      </c>
      <c r="C11" s="93" t="s">
        <v>94</v>
      </c>
      <c r="D11" s="101" t="s">
        <v>132</v>
      </c>
      <c r="E11" s="101" t="s">
        <v>95</v>
      </c>
      <c r="F11" s="94"/>
    </row>
    <row r="12" spans="2:6" ht="12.75">
      <c r="B12" s="92" t="s">
        <v>32</v>
      </c>
      <c r="C12" s="97" t="s">
        <v>32</v>
      </c>
      <c r="D12" s="92" t="s">
        <v>32</v>
      </c>
      <c r="E12" s="92" t="s">
        <v>32</v>
      </c>
      <c r="F12" s="99" t="s">
        <v>32</v>
      </c>
    </row>
    <row r="13" spans="2:6" ht="12.75">
      <c r="B13" s="92"/>
      <c r="C13" s="97"/>
      <c r="D13" s="92"/>
      <c r="E13" s="92"/>
      <c r="F13" s="95"/>
    </row>
    <row r="14" spans="1:7" ht="12.75">
      <c r="A14" s="3" t="s">
        <v>96</v>
      </c>
      <c r="B14" s="102">
        <f>Consol_BS!D36</f>
        <v>83176989</v>
      </c>
      <c r="C14" s="103">
        <v>80339088</v>
      </c>
      <c r="D14" s="102">
        <v>74699668</v>
      </c>
      <c r="E14" s="102">
        <f>-173724486</f>
        <v>-173724486</v>
      </c>
      <c r="F14" s="95">
        <f>SUM(B14:E14)</f>
        <v>64491259</v>
      </c>
      <c r="G14" s="3">
        <f>F14-Consol_BS!D42</f>
        <v>0</v>
      </c>
    </row>
    <row r="15" spans="1:6" s="13" customFormat="1" ht="12.75">
      <c r="A15" s="13" t="s">
        <v>120</v>
      </c>
      <c r="B15" s="102"/>
      <c r="C15" s="103"/>
      <c r="D15" s="102"/>
      <c r="E15" s="102"/>
      <c r="F15" s="95"/>
    </row>
    <row r="16" spans="2:6" s="13" customFormat="1" ht="12.75">
      <c r="B16" s="102"/>
      <c r="C16" s="103"/>
      <c r="D16" s="102"/>
      <c r="E16" s="102"/>
      <c r="F16" s="95"/>
    </row>
    <row r="17" spans="2:6" s="13" customFormat="1" ht="12.75">
      <c r="B17" s="102"/>
      <c r="C17" s="102"/>
      <c r="D17" s="95"/>
      <c r="E17" s="102"/>
      <c r="F17" s="95"/>
    </row>
    <row r="18" spans="1:6" s="13" customFormat="1" ht="12.75">
      <c r="A18" s="13" t="s">
        <v>97</v>
      </c>
      <c r="B18" s="102">
        <v>0</v>
      </c>
      <c r="C18" s="103">
        <v>0</v>
      </c>
      <c r="D18" s="102">
        <v>0</v>
      </c>
      <c r="E18" s="102">
        <f>Consol_PL!D40</f>
        <v>-6301166</v>
      </c>
      <c r="F18" s="95">
        <f>SUM(B18:E18)</f>
        <v>-6301166</v>
      </c>
    </row>
    <row r="19" spans="1:6" s="13" customFormat="1" ht="12.75">
      <c r="A19" s="13" t="s">
        <v>98</v>
      </c>
      <c r="B19" s="102"/>
      <c r="C19" s="103"/>
      <c r="D19" s="102"/>
      <c r="E19" s="102"/>
      <c r="F19" s="95"/>
    </row>
    <row r="20" spans="2:6" s="13" customFormat="1" ht="12.75">
      <c r="B20" s="104"/>
      <c r="C20" s="105"/>
      <c r="D20" s="104"/>
      <c r="E20" s="104"/>
      <c r="F20" s="106"/>
    </row>
    <row r="21" spans="1:6" s="13" customFormat="1" ht="12.75">
      <c r="A21" s="13" t="s">
        <v>99</v>
      </c>
      <c r="B21" s="107"/>
      <c r="C21" s="108"/>
      <c r="D21" s="107"/>
      <c r="E21" s="107"/>
      <c r="F21" s="91"/>
    </row>
    <row r="22" spans="1:6" s="13" customFormat="1" ht="13.5" thickBot="1">
      <c r="A22" s="13" t="s">
        <v>144</v>
      </c>
      <c r="B22" s="109">
        <f>SUM(B14:B20)</f>
        <v>83176989</v>
      </c>
      <c r="C22" s="109">
        <f>SUM(C14:C20)</f>
        <v>80339088</v>
      </c>
      <c r="D22" s="109">
        <f>SUM(D14:D20)</f>
        <v>74699668</v>
      </c>
      <c r="E22" s="109">
        <f>SUM(E14:E20)</f>
        <v>-180025652</v>
      </c>
      <c r="F22" s="109">
        <f>SUM(F14:F20)</f>
        <v>58190093</v>
      </c>
    </row>
    <row r="23" spans="2:6" s="13" customFormat="1" ht="13.5" thickTop="1">
      <c r="B23" s="104">
        <f>B22-Consol_BS!B36</f>
        <v>0</v>
      </c>
      <c r="C23" s="105"/>
      <c r="D23" s="104"/>
      <c r="E23" s="104"/>
      <c r="F23" s="110">
        <f>F22-Consol_BS!B42</f>
        <v>0</v>
      </c>
    </row>
    <row r="24" s="13" customFormat="1" ht="12.75"/>
    <row r="25" s="13" customFormat="1" ht="12.75"/>
    <row r="26" s="13" customFormat="1" ht="12.75">
      <c r="A26" s="23"/>
    </row>
    <row r="27" spans="2:6" s="13" customFormat="1" ht="12.75">
      <c r="B27" s="107"/>
      <c r="C27" s="121" t="s">
        <v>87</v>
      </c>
      <c r="D27" s="121"/>
      <c r="E27" s="98" t="s">
        <v>88</v>
      </c>
      <c r="F27" s="91"/>
    </row>
    <row r="28" spans="2:6" s="13" customFormat="1" ht="12.75">
      <c r="B28" s="102"/>
      <c r="C28" s="11"/>
      <c r="D28" s="11"/>
      <c r="E28" s="102"/>
      <c r="F28" s="95"/>
    </row>
    <row r="29" spans="1:6" s="13" customFormat="1" ht="12.75">
      <c r="A29" s="111" t="s">
        <v>89</v>
      </c>
      <c r="B29" s="97" t="s">
        <v>90</v>
      </c>
      <c r="C29" s="98" t="s">
        <v>90</v>
      </c>
      <c r="D29" s="22" t="s">
        <v>151</v>
      </c>
      <c r="E29" s="92" t="s">
        <v>91</v>
      </c>
      <c r="F29" s="99" t="s">
        <v>92</v>
      </c>
    </row>
    <row r="30" spans="1:6" s="13" customFormat="1" ht="12.75">
      <c r="A30" s="111" t="s">
        <v>152</v>
      </c>
      <c r="B30" s="93" t="s">
        <v>93</v>
      </c>
      <c r="C30" s="101" t="s">
        <v>94</v>
      </c>
      <c r="D30" s="16" t="s">
        <v>153</v>
      </c>
      <c r="E30" s="101" t="s">
        <v>95</v>
      </c>
      <c r="F30" s="94"/>
    </row>
    <row r="31" spans="2:6" s="13" customFormat="1" ht="12.75">
      <c r="B31" s="97" t="s">
        <v>32</v>
      </c>
      <c r="C31" s="98" t="s">
        <v>32</v>
      </c>
      <c r="D31" s="9" t="s">
        <v>32</v>
      </c>
      <c r="E31" s="98" t="s">
        <v>32</v>
      </c>
      <c r="F31" s="99" t="s">
        <v>32</v>
      </c>
    </row>
    <row r="32" spans="2:6" s="13" customFormat="1" ht="12.75">
      <c r="B32" s="103"/>
      <c r="C32" s="102"/>
      <c r="E32" s="102"/>
      <c r="F32" s="95"/>
    </row>
    <row r="33" spans="1:6" s="13" customFormat="1" ht="12.75">
      <c r="A33" s="13" t="s">
        <v>96</v>
      </c>
      <c r="B33" s="103">
        <v>2</v>
      </c>
      <c r="C33" s="102">
        <v>0</v>
      </c>
      <c r="D33" s="13">
        <v>0</v>
      </c>
      <c r="E33" s="102">
        <v>-5461</v>
      </c>
      <c r="F33" s="95">
        <f>SUM(B33:E33)</f>
        <v>-5459</v>
      </c>
    </row>
    <row r="34" spans="1:6" s="13" customFormat="1" ht="12.75">
      <c r="A34" s="13" t="s">
        <v>154</v>
      </c>
      <c r="B34" s="103"/>
      <c r="C34" s="102"/>
      <c r="E34" s="102"/>
      <c r="F34" s="95"/>
    </row>
    <row r="35" spans="2:6" s="13" customFormat="1" ht="12.75">
      <c r="B35" s="103"/>
      <c r="C35" s="102"/>
      <c r="E35" s="102"/>
      <c r="F35" s="95"/>
    </row>
    <row r="36" spans="1:6" s="13" customFormat="1" ht="12.75">
      <c r="A36" s="13" t="s">
        <v>155</v>
      </c>
      <c r="B36" s="103"/>
      <c r="C36" s="102"/>
      <c r="E36" s="102"/>
      <c r="F36" s="95"/>
    </row>
    <row r="37" spans="1:6" s="13" customFormat="1" ht="12.75">
      <c r="A37" s="13" t="s">
        <v>156</v>
      </c>
      <c r="B37" s="103">
        <v>395400</v>
      </c>
      <c r="C37" s="102">
        <v>0</v>
      </c>
      <c r="D37" s="13">
        <v>0</v>
      </c>
      <c r="E37" s="102">
        <v>0</v>
      </c>
      <c r="F37" s="95">
        <f>SUM(B37:E37)</f>
        <v>395400</v>
      </c>
    </row>
    <row r="38" spans="1:6" s="13" customFormat="1" ht="12.75">
      <c r="A38" s="13" t="s">
        <v>157</v>
      </c>
      <c r="B38" s="103">
        <v>61365507</v>
      </c>
      <c r="C38" s="102">
        <v>57025169</v>
      </c>
      <c r="D38" s="13">
        <v>0</v>
      </c>
      <c r="E38" s="102">
        <v>0</v>
      </c>
      <c r="F38" s="95">
        <f>SUM(B38:E38)</f>
        <v>118390676</v>
      </c>
    </row>
    <row r="39" spans="2:6" s="13" customFormat="1" ht="12.75">
      <c r="B39" s="103"/>
      <c r="C39" s="102"/>
      <c r="E39" s="102"/>
      <c r="F39" s="95"/>
    </row>
    <row r="40" spans="1:6" s="13" customFormat="1" ht="12.75">
      <c r="A40" s="13" t="s">
        <v>158</v>
      </c>
      <c r="B40" s="103"/>
      <c r="C40" s="102">
        <v>31402797</v>
      </c>
      <c r="D40" s="13">
        <v>11181147</v>
      </c>
      <c r="E40" s="102">
        <v>0</v>
      </c>
      <c r="F40" s="95">
        <f>SUM(B40:E40)</f>
        <v>42583944</v>
      </c>
    </row>
    <row r="41" spans="2:6" s="13" customFormat="1" ht="12.75">
      <c r="B41" s="103"/>
      <c r="C41" s="102"/>
      <c r="E41" s="102"/>
      <c r="F41" s="95"/>
    </row>
    <row r="42" spans="1:6" s="13" customFormat="1" ht="12.75">
      <c r="A42" s="13" t="s">
        <v>159</v>
      </c>
      <c r="B42" s="103"/>
      <c r="C42" s="102"/>
      <c r="D42" s="13">
        <v>8524436</v>
      </c>
      <c r="E42" s="102"/>
      <c r="F42" s="95">
        <f>SUM(B42:E42)</f>
        <v>8524436</v>
      </c>
    </row>
    <row r="43" spans="2:6" s="13" customFormat="1" ht="12.75">
      <c r="B43" s="103"/>
      <c r="C43" s="102"/>
      <c r="E43" s="102"/>
      <c r="F43" s="95"/>
    </row>
    <row r="44" spans="1:6" s="13" customFormat="1" ht="12.75">
      <c r="A44" s="13" t="s">
        <v>97</v>
      </c>
      <c r="B44" s="103">
        <v>0</v>
      </c>
      <c r="C44" s="102">
        <v>0</v>
      </c>
      <c r="D44" s="13">
        <v>0</v>
      </c>
      <c r="E44" s="102">
        <f>Consol_PL!E40</f>
        <v>-176086820</v>
      </c>
      <c r="F44" s="95">
        <f>SUM(B44:E44)</f>
        <v>-176086820</v>
      </c>
    </row>
    <row r="45" spans="1:6" s="13" customFormat="1" ht="12.75">
      <c r="A45" s="13" t="s">
        <v>98</v>
      </c>
      <c r="B45" s="103"/>
      <c r="C45" s="102"/>
      <c r="E45" s="102"/>
      <c r="F45" s="95"/>
    </row>
    <row r="46" spans="2:6" s="13" customFormat="1" ht="12.75">
      <c r="B46" s="103"/>
      <c r="C46" s="102"/>
      <c r="E46" s="102"/>
      <c r="F46" s="95"/>
    </row>
    <row r="47" spans="1:6" s="13" customFormat="1" ht="12.75">
      <c r="A47" s="13" t="s">
        <v>99</v>
      </c>
      <c r="B47" s="108"/>
      <c r="C47" s="107"/>
      <c r="D47" s="116"/>
      <c r="E47" s="107"/>
      <c r="F47" s="91"/>
    </row>
    <row r="48" spans="1:6" s="13" customFormat="1" ht="13.5" thickBot="1">
      <c r="A48" s="13" t="s">
        <v>160</v>
      </c>
      <c r="B48" s="114">
        <f>SUM(B33:B46)</f>
        <v>61760909</v>
      </c>
      <c r="C48" s="109">
        <f>SUM(C33:C46)</f>
        <v>88427966</v>
      </c>
      <c r="D48" s="12">
        <f>SUM(D33:D46)</f>
        <v>19705583</v>
      </c>
      <c r="E48" s="109">
        <f>SUM(E33:E46)</f>
        <v>-176092281</v>
      </c>
      <c r="F48" s="115">
        <f>SUM(F33:F46)</f>
        <v>-6197823</v>
      </c>
    </row>
    <row r="49" spans="2:6" s="13" customFormat="1" ht="13.5" thickTop="1">
      <c r="B49" s="105"/>
      <c r="C49" s="104"/>
      <c r="D49" s="11"/>
      <c r="E49" s="104"/>
      <c r="F49" s="106"/>
    </row>
    <row r="50" s="13" customFormat="1" ht="12.75"/>
    <row r="51" s="13" customFormat="1" ht="12.75"/>
    <row r="53" ht="12.75">
      <c r="A53" s="18"/>
    </row>
    <row r="54" ht="12.75">
      <c r="A54" s="17" t="s">
        <v>173</v>
      </c>
    </row>
    <row r="55" ht="12.75">
      <c r="A55" s="3" t="s">
        <v>150</v>
      </c>
    </row>
  </sheetData>
  <mergeCells count="1">
    <mergeCell ref="C27:D27"/>
  </mergeCells>
  <printOptions horizontalCentered="1"/>
  <pageMargins left="0.51" right="0.29" top="0.82" bottom="0.66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">
      <selection activeCell="D2" sqref="D2"/>
    </sheetView>
  </sheetViews>
  <sheetFormatPr defaultColWidth="9.140625" defaultRowHeight="12.75"/>
  <cols>
    <col min="1" max="1" width="57.421875" style="3" customWidth="1"/>
    <col min="2" max="2" width="18.8515625" style="8" bestFit="1" customWidth="1"/>
    <col min="3" max="3" width="1.7109375" style="8" customWidth="1"/>
    <col min="4" max="4" width="18.8515625" style="3" bestFit="1" customWidth="1"/>
    <col min="5" max="16384" width="9.140625" style="3" customWidth="1"/>
  </cols>
  <sheetData>
    <row r="1" ht="12.75">
      <c r="A1" s="2" t="str">
        <f>Summary!A1</f>
        <v>MITHRIL BERHAD</v>
      </c>
    </row>
    <row r="2" ht="12.75">
      <c r="A2" s="42" t="s">
        <v>1</v>
      </c>
    </row>
    <row r="4" ht="12.75">
      <c r="A4" s="2" t="s">
        <v>177</v>
      </c>
    </row>
    <row r="5" ht="12.75">
      <c r="A5" s="2" t="str">
        <f>Consol_CF!A5</f>
        <v>FOR THE CUMULATIVE QUARTER ENDED 31ST MARCH 2005</v>
      </c>
    </row>
    <row r="8" spans="2:4" ht="12.75">
      <c r="B8" s="112" t="s">
        <v>174</v>
      </c>
      <c r="C8" s="113"/>
      <c r="D8" s="112" t="s">
        <v>175</v>
      </c>
    </row>
    <row r="9" spans="2:4" ht="12.75">
      <c r="B9" s="8" t="s">
        <v>145</v>
      </c>
      <c r="D9" s="8" t="s">
        <v>176</v>
      </c>
    </row>
    <row r="10" spans="2:4" ht="12.75">
      <c r="B10" s="8" t="s">
        <v>100</v>
      </c>
      <c r="D10" s="8" t="s">
        <v>100</v>
      </c>
    </row>
    <row r="11" spans="2:4" ht="15">
      <c r="B11" s="34" t="s">
        <v>32</v>
      </c>
      <c r="D11" s="34" t="s">
        <v>32</v>
      </c>
    </row>
    <row r="13" spans="1:4" ht="12.75">
      <c r="A13" s="3" t="s">
        <v>101</v>
      </c>
      <c r="B13" s="8">
        <v>0</v>
      </c>
      <c r="D13" s="3">
        <v>0</v>
      </c>
    </row>
    <row r="14" spans="2:3" s="13" customFormat="1" ht="12.75">
      <c r="B14" s="9"/>
      <c r="C14" s="9"/>
    </row>
    <row r="15" spans="1:4" s="13" customFormat="1" ht="12.75">
      <c r="A15" s="13" t="s">
        <v>102</v>
      </c>
      <c r="B15" s="9">
        <v>0</v>
      </c>
      <c r="C15" s="9"/>
      <c r="D15" s="13">
        <v>0</v>
      </c>
    </row>
    <row r="16" spans="2:4" s="13" customFormat="1" ht="12.75">
      <c r="B16" s="16"/>
      <c r="C16" s="9"/>
      <c r="D16" s="16"/>
    </row>
    <row r="17" spans="2:3" s="13" customFormat="1" ht="12.75">
      <c r="B17" s="9"/>
      <c r="C17" s="9"/>
    </row>
    <row r="18" spans="1:4" s="13" customFormat="1" ht="12.75">
      <c r="A18" s="13" t="s">
        <v>103</v>
      </c>
      <c r="B18" s="9">
        <f>SUM(B13:B15)</f>
        <v>0</v>
      </c>
      <c r="C18" s="9"/>
      <c r="D18" s="9">
        <f>SUM(D13:D15)</f>
        <v>0</v>
      </c>
    </row>
    <row r="19" spans="2:3" s="13" customFormat="1" ht="12.75">
      <c r="B19" s="9"/>
      <c r="C19" s="9"/>
    </row>
    <row r="20" spans="1:4" s="13" customFormat="1" ht="12.75">
      <c r="A20" s="13" t="s">
        <v>121</v>
      </c>
      <c r="B20" s="9">
        <f>Consol_EQ!E22</f>
        <v>-180025652</v>
      </c>
      <c r="C20" s="9"/>
      <c r="D20" s="13">
        <f>Consol_EQ!E48</f>
        <v>-176092281</v>
      </c>
    </row>
    <row r="21" spans="2:3" s="13" customFormat="1" ht="12.75">
      <c r="B21" s="9"/>
      <c r="C21" s="9"/>
    </row>
    <row r="22" spans="1:4" s="13" customFormat="1" ht="13.5" thickBot="1">
      <c r="A22" s="13" t="s">
        <v>104</v>
      </c>
      <c r="B22" s="21">
        <f>SUM(B18:B20)</f>
        <v>-180025652</v>
      </c>
      <c r="C22" s="9"/>
      <c r="D22" s="21">
        <f>SUM(D18:D20)</f>
        <v>-176092281</v>
      </c>
    </row>
    <row r="23" spans="2:4" s="13" customFormat="1" ht="13.5" thickTop="1">
      <c r="B23" s="9"/>
      <c r="C23" s="9"/>
      <c r="D23" s="9"/>
    </row>
    <row r="24" spans="2:4" s="13" customFormat="1" ht="12.75">
      <c r="B24" s="9">
        <f>B22-Consol_EQ!E22</f>
        <v>0</v>
      </c>
      <c r="C24" s="9"/>
      <c r="D24" s="9">
        <f>D22-Consol_EQ!E48</f>
        <v>0</v>
      </c>
    </row>
    <row r="25" spans="1:3" s="13" customFormat="1" ht="12.75">
      <c r="A25" s="23"/>
      <c r="B25" s="9"/>
      <c r="C25" s="9"/>
    </row>
    <row r="26" spans="2:3" s="13" customFormat="1" ht="12.75">
      <c r="B26" s="9"/>
      <c r="C26" s="9"/>
    </row>
    <row r="27" spans="2:3" s="13" customFormat="1" ht="12.75">
      <c r="B27" s="9"/>
      <c r="C27" s="9"/>
    </row>
    <row r="28" spans="2:3" s="13" customFormat="1" ht="12.75">
      <c r="B28" s="9"/>
      <c r="C28" s="9"/>
    </row>
    <row r="29" spans="2:3" s="13" customFormat="1" ht="12.75">
      <c r="B29" s="9"/>
      <c r="C29" s="9"/>
    </row>
    <row r="30" spans="2:3" s="13" customFormat="1" ht="12.75">
      <c r="B30" s="9"/>
      <c r="C30" s="9"/>
    </row>
    <row r="31" spans="2:3" s="13" customFormat="1" ht="12.75">
      <c r="B31" s="9"/>
      <c r="C31" s="9"/>
    </row>
    <row r="32" spans="2:3" s="13" customFormat="1" ht="12.75">
      <c r="B32" s="9"/>
      <c r="C32" s="9"/>
    </row>
    <row r="33" spans="2:3" s="13" customFormat="1" ht="12.75">
      <c r="B33" s="9"/>
      <c r="C33" s="9"/>
    </row>
    <row r="34" spans="2:3" s="13" customFormat="1" ht="12.75">
      <c r="B34" s="9"/>
      <c r="C34" s="9"/>
    </row>
    <row r="35" spans="2:3" s="13" customFormat="1" ht="12.75">
      <c r="B35" s="9"/>
      <c r="C35" s="9"/>
    </row>
    <row r="36" spans="2:3" s="13" customFormat="1" ht="12.75">
      <c r="B36" s="9"/>
      <c r="C36" s="9"/>
    </row>
    <row r="37" spans="2:3" s="13" customFormat="1" ht="12.75">
      <c r="B37" s="9"/>
      <c r="C37" s="9"/>
    </row>
    <row r="38" spans="2:3" s="13" customFormat="1" ht="12.75">
      <c r="B38" s="9"/>
      <c r="C38" s="9"/>
    </row>
    <row r="39" spans="2:3" s="13" customFormat="1" ht="12.75">
      <c r="B39" s="9"/>
      <c r="C39" s="9"/>
    </row>
    <row r="40" spans="2:3" s="13" customFormat="1" ht="12.75">
      <c r="B40" s="9"/>
      <c r="C40" s="9"/>
    </row>
    <row r="41" spans="2:3" s="13" customFormat="1" ht="12.75">
      <c r="B41" s="9"/>
      <c r="C41" s="9"/>
    </row>
    <row r="42" spans="2:3" s="13" customFormat="1" ht="12.75">
      <c r="B42" s="9"/>
      <c r="C42" s="9"/>
    </row>
    <row r="43" spans="2:3" s="13" customFormat="1" ht="12.75">
      <c r="B43" s="9"/>
      <c r="C43" s="9"/>
    </row>
    <row r="44" spans="2:3" s="13" customFormat="1" ht="12.75">
      <c r="B44" s="9"/>
      <c r="C44" s="9"/>
    </row>
    <row r="45" spans="2:3" s="13" customFormat="1" ht="12.75">
      <c r="B45" s="9"/>
      <c r="C45" s="9"/>
    </row>
    <row r="46" spans="2:3" s="13" customFormat="1" ht="12.75">
      <c r="B46" s="9"/>
      <c r="C46" s="9"/>
    </row>
    <row r="47" spans="1:3" s="13" customFormat="1" ht="12.75">
      <c r="A47" s="23"/>
      <c r="B47" s="9"/>
      <c r="C47" s="9"/>
    </row>
    <row r="48" spans="2:3" s="13" customFormat="1" ht="12.75">
      <c r="B48" s="9"/>
      <c r="C48" s="9"/>
    </row>
    <row r="49" spans="1:3" s="13" customFormat="1" ht="12.75">
      <c r="A49" s="23"/>
      <c r="B49" s="9"/>
      <c r="C49" s="9"/>
    </row>
    <row r="50" spans="1:3" s="13" customFormat="1" ht="12.75">
      <c r="A50" s="100" t="s">
        <v>183</v>
      </c>
      <c r="B50" s="9"/>
      <c r="C50" s="9"/>
    </row>
    <row r="51" spans="1:3" s="13" customFormat="1" ht="12.75">
      <c r="A51" s="3" t="s">
        <v>184</v>
      </c>
      <c r="B51" s="9"/>
      <c r="C51" s="9"/>
    </row>
    <row r="52" spans="1:3" s="13" customFormat="1" ht="12.75">
      <c r="A52" s="3" t="s">
        <v>185</v>
      </c>
      <c r="B52" s="9"/>
      <c r="C52" s="9"/>
    </row>
    <row r="53" spans="2:3" s="13" customFormat="1" ht="12.75">
      <c r="B53" s="9"/>
      <c r="C53" s="9"/>
    </row>
    <row r="54" spans="2:3" s="13" customFormat="1" ht="12.75">
      <c r="B54" s="9"/>
      <c r="C54" s="9"/>
    </row>
    <row r="55" spans="1:3" s="13" customFormat="1" ht="12.75">
      <c r="A55" s="17" t="s">
        <v>178</v>
      </c>
      <c r="B55" s="9"/>
      <c r="C55" s="9"/>
    </row>
    <row r="56" spans="1:3" s="13" customFormat="1" ht="12.75">
      <c r="A56" s="3" t="s">
        <v>179</v>
      </c>
      <c r="B56" s="9"/>
      <c r="C56" s="9"/>
    </row>
    <row r="57" spans="2:3" s="13" customFormat="1" ht="12.75">
      <c r="B57" s="9"/>
      <c r="C57" s="9"/>
    </row>
    <row r="58" spans="2:3" s="13" customFormat="1" ht="12.75">
      <c r="B58" s="9"/>
      <c r="C58" s="9"/>
    </row>
    <row r="69" ht="12.75">
      <c r="A69" s="18"/>
    </row>
  </sheetData>
  <printOptions/>
  <pageMargins left="0.45" right="0.33" top="0.88" bottom="0.7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mui_yang</cp:lastModifiedBy>
  <cp:lastPrinted>2005-05-26T08:25:13Z</cp:lastPrinted>
  <dcterms:created xsi:type="dcterms:W3CDTF">2004-08-07T08:47:17Z</dcterms:created>
  <dcterms:modified xsi:type="dcterms:W3CDTF">2005-05-26T08:25:42Z</dcterms:modified>
  <cp:category/>
  <cp:version/>
  <cp:contentType/>
  <cp:contentStatus/>
</cp:coreProperties>
</file>